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ti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3.xml" ContentType="application/vnd.openxmlformats-officedocument.drawing+xml"/>
  <Override PartName="/xl/tables/table3.xml" ContentType="application/vnd.openxmlformats-officedocument.spreadsheetml.table+xml"/>
  <Override PartName="/xl/tables/table4.xml" ContentType="application/vnd.openxmlformats-officedocument.spreadsheetml.table+xml"/>
  <Override PartName="/xl/drawings/drawing4.xml" ContentType="application/vnd.openxmlformats-officedocument.drawing+xml"/>
  <Override PartName="/xl/tables/table5.xml" ContentType="application/vnd.openxmlformats-officedocument.spreadsheetml.table+xml"/>
  <Override PartName="/xl/tables/table6.xml" ContentType="application/vnd.openxmlformats-officedocument.spreadsheetml.table+xml"/>
  <Override PartName="/xl/drawings/drawing5.xml" ContentType="application/vnd.openxmlformats-officedocument.drawing+xml"/>
  <Override PartName="/xl/tables/table7.xml" ContentType="application/vnd.openxmlformats-officedocument.spreadsheetml.table+xml"/>
  <Override PartName="/xl/tables/table8.xml" ContentType="application/vnd.openxmlformats-officedocument.spreadsheetml.table+xml"/>
  <Override PartName="/xl/drawings/drawing6.xml" ContentType="application/vnd.openxmlformats-officedocument.drawing+xml"/>
  <Override PartName="/xl/tables/table9.xml" ContentType="application/vnd.openxmlformats-officedocument.spreadsheetml.table+xml"/>
  <Override PartName="/xl/tables/table10.xml" ContentType="application/vnd.openxmlformats-officedocument.spreadsheetml.table+xml"/>
  <Override PartName="/xl/drawings/drawing7.xml" ContentType="application/vnd.openxmlformats-officedocument.drawing+xml"/>
  <Override PartName="/xl/tables/table11.xml" ContentType="application/vnd.openxmlformats-officedocument.spreadsheetml.table+xml"/>
  <Override PartName="/xl/tables/table12.xml" ContentType="application/vnd.openxmlformats-officedocument.spreadsheetml.table+xml"/>
  <Override PartName="/xl/drawings/drawing8.xml" ContentType="application/vnd.openxmlformats-officedocument.drawing+xml"/>
  <Override PartName="/xl/tables/table13.xml" ContentType="application/vnd.openxmlformats-officedocument.spreadsheetml.table+xml"/>
  <Override PartName="/xl/tables/table14.xml" ContentType="application/vnd.openxmlformats-officedocument.spreadsheetml.table+xml"/>
  <Override PartName="/xl/drawings/drawing9.xml" ContentType="application/vnd.openxmlformats-officedocument.drawing+xml"/>
  <Override PartName="/xl/tables/table15.xml" ContentType="application/vnd.openxmlformats-officedocument.spreadsheetml.table+xml"/>
  <Override PartName="/xl/tables/table16.xml" ContentType="application/vnd.openxmlformats-officedocument.spreadsheetml.table+xml"/>
  <Override PartName="/xl/drawings/drawing10.xml" ContentType="application/vnd.openxmlformats-officedocument.drawing+xml"/>
  <Override PartName="/xl/tables/table17.xml" ContentType="application/vnd.openxmlformats-officedocument.spreadsheetml.table+xml"/>
  <Override PartName="/xl/tables/table18.xml" ContentType="application/vnd.openxmlformats-officedocument.spreadsheetml.table+xml"/>
  <Override PartName="/xl/drawings/drawing11.xml" ContentType="application/vnd.openxmlformats-officedocument.drawing+xml"/>
  <Override PartName="/xl/tables/table19.xml" ContentType="application/vnd.openxmlformats-officedocument.spreadsheetml.table+xml"/>
  <Override PartName="/xl/tables/table20.xml" ContentType="application/vnd.openxmlformats-officedocument.spreadsheetml.table+xml"/>
  <Override PartName="/xl/drawings/drawing12.xml" ContentType="application/vnd.openxmlformats-officedocument.drawing+xml"/>
  <Override PartName="/xl/tables/table21.xml" ContentType="application/vnd.openxmlformats-officedocument.spreadsheetml.table+xml"/>
  <Override PartName="/xl/tables/table22.xml" ContentType="application/vnd.openxmlformats-officedocument.spreadsheetml.table+xml"/>
  <Override PartName="/xl/drawings/drawing13.xml" ContentType="application/vnd.openxmlformats-officedocument.drawing+xml"/>
  <Override PartName="/xl/tables/table23.xml" ContentType="application/vnd.openxmlformats-officedocument.spreadsheetml.table+xml"/>
  <Override PartName="/xl/tables/table24.xml" ContentType="application/vnd.openxmlformats-officedocument.spreadsheetml.table+xml"/>
  <Override PartName="/xl/drawings/drawing14.xml" ContentType="application/vnd.openxmlformats-officedocument.drawing+xml"/>
  <Override PartName="/xl/tables/table25.xml" ContentType="application/vnd.openxmlformats-officedocument.spreadsheetml.table+xml"/>
  <Override PartName="/xl/tables/table26.xml" ContentType="application/vnd.openxmlformats-officedocument.spreadsheetml.table+xml"/>
  <Override PartName="/xl/drawings/drawing15.xml" ContentType="application/vnd.openxmlformats-officedocument.drawing+xml"/>
  <Override PartName="/xl/tables/table27.xml" ContentType="application/vnd.openxmlformats-officedocument.spreadsheetml.table+xml"/>
  <Override PartName="/xl/tables/table28.xml" ContentType="application/vnd.openxmlformats-officedocument.spreadsheetml.table+xml"/>
  <Override PartName="/xl/drawings/drawing16.xml" ContentType="application/vnd.openxmlformats-officedocument.drawing+xml"/>
  <Override PartName="/xl/tables/table29.xml" ContentType="application/vnd.openxmlformats-officedocument.spreadsheetml.table+xml"/>
  <Override PartName="/xl/tables/table30.xml" ContentType="application/vnd.openxmlformats-officedocument.spreadsheetml.table+xml"/>
  <Override PartName="/xl/drawings/drawing17.xml" ContentType="application/vnd.openxmlformats-officedocument.drawing+xml"/>
  <Override PartName="/xl/tables/table31.xml" ContentType="application/vnd.openxmlformats-officedocument.spreadsheetml.table+xml"/>
  <Override PartName="/xl/tables/table32.xml" ContentType="application/vnd.openxmlformats-officedocument.spreadsheetml.table+xml"/>
  <Override PartName="/xl/drawings/drawing18.xml" ContentType="application/vnd.openxmlformats-officedocument.drawing+xml"/>
  <Override PartName="/xl/tables/table33.xml" ContentType="application/vnd.openxmlformats-officedocument.spreadsheetml.table+xml"/>
  <Override PartName="/xl/tables/table34.xml" ContentType="application/vnd.openxmlformats-officedocument.spreadsheetml.table+xml"/>
  <Override PartName="/xl/drawings/drawing19.xml" ContentType="application/vnd.openxmlformats-officedocument.drawing+xml"/>
  <Override PartName="/xl/tables/table35.xml" ContentType="application/vnd.openxmlformats-officedocument.spreadsheetml.table+xml"/>
  <Override PartName="/xl/tables/table36.xml" ContentType="application/vnd.openxmlformats-officedocument.spreadsheetml.table+xml"/>
  <Override PartName="/xl/drawings/drawing20.xml" ContentType="application/vnd.openxmlformats-officedocument.drawing+xml"/>
  <Override PartName="/xl/tables/table37.xml" ContentType="application/vnd.openxmlformats-officedocument.spreadsheetml.table+xml"/>
  <Override PartName="/xl/tables/table38.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codeName="ThisWorkbook" defaultThemeVersion="166925"/>
  <mc:AlternateContent xmlns:mc="http://schemas.openxmlformats.org/markup-compatibility/2006">
    <mc:Choice Requires="x15">
      <x15ac:absPath xmlns:x15ac="http://schemas.microsoft.com/office/spreadsheetml/2010/11/ac" url="C:\Users\LAB\Documents\porosity_analysis\"/>
    </mc:Choice>
  </mc:AlternateContent>
  <xr:revisionPtr revIDLastSave="0" documentId="13_ncr:1_{5AE5E53D-D717-4D53-86E7-AF5670E34B94}" xr6:coauthVersionLast="47" xr6:coauthVersionMax="47" xr10:uidLastSave="{00000000-0000-0000-0000-000000000000}"/>
  <bookViews>
    <workbookView xWindow="1950" yWindow="1275" windowWidth="25155" windowHeight="11865" activeTab="2" xr2:uid="{3B9786E1-D139-4CC1-BD6A-46BC78129BA8}"/>
  </bookViews>
  <sheets>
    <sheet name="Instructions" sheetId="1" r:id="rId1"/>
    <sheet name="AsSprayed_BottomLayer" sheetId="24" r:id="rId2"/>
    <sheet name="AsSprayed_TopLayer" sheetId="35" r:id="rId3"/>
    <sheet name="SHVOF_1000X (with cracks)" sheetId="29" r:id="rId4"/>
    <sheet name="HIP_SHVOF_0250X (with cracks)" sheetId="28" r:id="rId5"/>
    <sheet name="HIP_SHVOF_0250X" sheetId="25" r:id="rId6"/>
    <sheet name="SHVOF_0250X" sheetId="23" r:id="rId7"/>
    <sheet name="SHVOF_0250X (with cracks)" sheetId="27" r:id="rId8"/>
    <sheet name="HVOF_APS_Al2O3_0100X" sheetId="18" r:id="rId9"/>
    <sheet name="HVOF_APS_Al2O3_0250X (with crac" sheetId="31" r:id="rId10"/>
    <sheet name="HVOF_APS_Al2O3_0250X" sheetId="19" r:id="rId11"/>
    <sheet name="HVOF_APS_Al2O3_1000X" sheetId="20" r:id="rId12"/>
    <sheet name="HIP_HVOF_APS_Al2O3_0250X" sheetId="21" r:id="rId13"/>
    <sheet name="HIP_HVOF_APS_Al2O3_1000X" sheetId="22" r:id="rId14"/>
    <sheet name="APS_Al2O3_0100X" sheetId="17" r:id="rId15"/>
    <sheet name="APS_Al2O3_0250X" sheetId="12" r:id="rId16"/>
    <sheet name="APS_Al2O3_1000X" sheetId="7" r:id="rId17"/>
    <sheet name="HIP_APS_Al2O3_0250X" sheetId="15" r:id="rId18"/>
    <sheet name="HIP_APS_Al2O3_1000X" sheetId="14" r:id="rId19"/>
    <sheet name="HIP_APS_Al2O3_1000X (with crack" sheetId="32" r:id="rId20"/>
  </sheets>
  <definedNames>
    <definedName name="_xlnm.Print_Area" localSheetId="14">APS_Al2O3_0100X!$A$1:$D$44</definedName>
    <definedName name="_xlnm.Print_Area" localSheetId="15">APS_Al2O3_0250X!$A$1:$D$44</definedName>
    <definedName name="_xlnm.Print_Area" localSheetId="16">APS_Al2O3_1000X!$A$1:$D$44</definedName>
    <definedName name="_xlnm.Print_Area" localSheetId="1">AsSprayed_BottomLayer!$A$1:$D$44</definedName>
    <definedName name="_xlnm.Print_Area" localSheetId="2">AsSprayed_TopLayer!$A$1:$D$44</definedName>
    <definedName name="_xlnm.Print_Area" localSheetId="17">HIP_APS_Al2O3_0250X!$A$1:$D$44</definedName>
    <definedName name="_xlnm.Print_Area" localSheetId="18">HIP_APS_Al2O3_1000X!$A$1:$D$44</definedName>
    <definedName name="_xlnm.Print_Area" localSheetId="19">'HIP_APS_Al2O3_1000X (with crack'!$A$1:$D$44</definedName>
    <definedName name="_xlnm.Print_Area" localSheetId="12">HIP_HVOF_APS_Al2O3_0250X!$A$1:$D$44</definedName>
    <definedName name="_xlnm.Print_Area" localSheetId="13">HIP_HVOF_APS_Al2O3_1000X!$A$1:$D$44</definedName>
    <definedName name="_xlnm.Print_Area" localSheetId="5">HIP_SHVOF_0250X!$A$1:$D$44</definedName>
    <definedName name="_xlnm.Print_Area" localSheetId="4">'HIP_SHVOF_0250X (with cracks)'!$A$1:$D$44</definedName>
    <definedName name="_xlnm.Print_Area" localSheetId="8">HVOF_APS_Al2O3_0100X!$A$1:$D$44</definedName>
    <definedName name="_xlnm.Print_Area" localSheetId="10">HVOF_APS_Al2O3_0250X!$A$1:$D$44</definedName>
    <definedName name="_xlnm.Print_Area" localSheetId="9">'HVOF_APS_Al2O3_0250X (with crac'!$A$1:$D$44</definedName>
    <definedName name="_xlnm.Print_Area" localSheetId="11">HVOF_APS_Al2O3_1000X!$A$1:$D$44</definedName>
    <definedName name="_xlnm.Print_Area" localSheetId="0">Instructions!$A$1:$C$42</definedName>
    <definedName name="_xlnm.Print_Area" localSheetId="6">SHVOF_0250X!$A$1:$D$44</definedName>
    <definedName name="_xlnm.Print_Area" localSheetId="7">'SHVOF_0250X (with cracks)'!$A$1:$D$44</definedName>
    <definedName name="_xlnm.Print_Area" localSheetId="3">'SHVOF_1000X (with cracks)'!$A$1:$D$44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16" i="35" l="1"/>
  <c r="K13" i="35"/>
  <c r="K12" i="35"/>
  <c r="C11" i="35" s="1"/>
  <c r="C12" i="35"/>
  <c r="K9" i="35"/>
  <c r="C13" i="35" s="1"/>
  <c r="K8" i="35"/>
  <c r="C10" i="35" s="1"/>
  <c r="C7" i="35"/>
  <c r="K6" i="35"/>
  <c r="K7" i="35" s="1"/>
  <c r="K6" i="24"/>
  <c r="C16" i="24" s="1"/>
  <c r="C16" i="32"/>
  <c r="K13" i="32"/>
  <c r="C12" i="32" s="1"/>
  <c r="C13" i="32"/>
  <c r="K12" i="32"/>
  <c r="C11" i="32"/>
  <c r="C10" i="32"/>
  <c r="K9" i="32"/>
  <c r="K8" i="32"/>
  <c r="C7" i="32"/>
  <c r="K6" i="32"/>
  <c r="K7" i="32" s="1"/>
  <c r="K6" i="31"/>
  <c r="C16" i="31" s="1"/>
  <c r="K13" i="31"/>
  <c r="K12" i="31"/>
  <c r="C11" i="31" s="1"/>
  <c r="C12" i="31"/>
  <c r="K9" i="31"/>
  <c r="C13" i="31" s="1"/>
  <c r="K8" i="31"/>
  <c r="C10" i="31" s="1"/>
  <c r="C7" i="31"/>
  <c r="C16" i="29"/>
  <c r="K13" i="29"/>
  <c r="C12" i="29" s="1"/>
  <c r="K12" i="29"/>
  <c r="C11" i="29"/>
  <c r="K9" i="29"/>
  <c r="C13" i="29" s="1"/>
  <c r="K8" i="29"/>
  <c r="C10" i="29" s="1"/>
  <c r="K7" i="29"/>
  <c r="C7" i="29"/>
  <c r="K6" i="29"/>
  <c r="K6" i="28"/>
  <c r="C16" i="28" s="1"/>
  <c r="K13" i="28"/>
  <c r="C12" i="28" s="1"/>
  <c r="K12" i="28"/>
  <c r="C11" i="28" s="1"/>
  <c r="K9" i="28"/>
  <c r="C13" i="28" s="1"/>
  <c r="K8" i="28"/>
  <c r="C10" i="28" s="1"/>
  <c r="C7" i="28"/>
  <c r="K7" i="28"/>
  <c r="K6" i="27"/>
  <c r="C16" i="27" s="1"/>
  <c r="K13" i="27"/>
  <c r="C12" i="27" s="1"/>
  <c r="K12" i="27"/>
  <c r="C11" i="27" s="1"/>
  <c r="K9" i="27"/>
  <c r="C13" i="27" s="1"/>
  <c r="K8" i="27"/>
  <c r="C10" i="27" s="1"/>
  <c r="C7" i="27"/>
  <c r="K6" i="25"/>
  <c r="C16" i="25"/>
  <c r="K13" i="25"/>
  <c r="C12" i="25" s="1"/>
  <c r="K12" i="25"/>
  <c r="C11" i="25" s="1"/>
  <c r="K9" i="25"/>
  <c r="C13" i="25" s="1"/>
  <c r="K8" i="25"/>
  <c r="C10" i="25" s="1"/>
  <c r="C7" i="25"/>
  <c r="K7" i="25"/>
  <c r="K13" i="24"/>
  <c r="C12" i="24" s="1"/>
  <c r="K12" i="24"/>
  <c r="C11" i="24" s="1"/>
  <c r="K9" i="24"/>
  <c r="C13" i="24" s="1"/>
  <c r="K8" i="24"/>
  <c r="C10" i="24" s="1"/>
  <c r="C7" i="24"/>
  <c r="K6" i="23"/>
  <c r="C16" i="23" s="1"/>
  <c r="K13" i="23"/>
  <c r="C12" i="23" s="1"/>
  <c r="K12" i="23"/>
  <c r="C11" i="23" s="1"/>
  <c r="K9" i="23"/>
  <c r="C13" i="23" s="1"/>
  <c r="K8" i="23"/>
  <c r="C10" i="23" s="1"/>
  <c r="C7" i="23"/>
  <c r="C16" i="22"/>
  <c r="C15" i="22"/>
  <c r="C14" i="22"/>
  <c r="K13" i="22"/>
  <c r="C13" i="22"/>
  <c r="K12" i="22"/>
  <c r="C12" i="22"/>
  <c r="C11" i="22"/>
  <c r="C10" i="22"/>
  <c r="K9" i="22"/>
  <c r="K8" i="22"/>
  <c r="C7" i="22"/>
  <c r="K6" i="22"/>
  <c r="K7" i="22" s="1"/>
  <c r="K6" i="21"/>
  <c r="C16" i="21" s="1"/>
  <c r="K13" i="21"/>
  <c r="C12" i="21" s="1"/>
  <c r="K12" i="21"/>
  <c r="C11" i="21" s="1"/>
  <c r="K9" i="21"/>
  <c r="C13" i="21" s="1"/>
  <c r="K8" i="21"/>
  <c r="C10" i="21" s="1"/>
  <c r="C7" i="21"/>
  <c r="K6" i="20"/>
  <c r="C16" i="20"/>
  <c r="K13" i="20"/>
  <c r="C12" i="20" s="1"/>
  <c r="K12" i="20"/>
  <c r="C11" i="20" s="1"/>
  <c r="K9" i="20"/>
  <c r="C13" i="20" s="1"/>
  <c r="K8" i="20"/>
  <c r="C10" i="20" s="1"/>
  <c r="C7" i="20"/>
  <c r="K6" i="19"/>
  <c r="C16" i="19" s="1"/>
  <c r="K13" i="19"/>
  <c r="C12" i="19" s="1"/>
  <c r="K12" i="19"/>
  <c r="C11" i="19" s="1"/>
  <c r="K9" i="19"/>
  <c r="C13" i="19" s="1"/>
  <c r="K8" i="19"/>
  <c r="C10" i="19" s="1"/>
  <c r="C7" i="19"/>
  <c r="C16" i="18"/>
  <c r="K13" i="18"/>
  <c r="C12" i="18" s="1"/>
  <c r="K12" i="18"/>
  <c r="C11" i="18"/>
  <c r="C10" i="18"/>
  <c r="K9" i="18"/>
  <c r="K10" i="18" s="1"/>
  <c r="K11" i="18" s="1"/>
  <c r="C15" i="18" s="1"/>
  <c r="K8" i="18"/>
  <c r="K7" i="18"/>
  <c r="C7" i="18"/>
  <c r="K6" i="18"/>
  <c r="K6" i="17"/>
  <c r="C16" i="17" s="1"/>
  <c r="K13" i="17"/>
  <c r="C12" i="17" s="1"/>
  <c r="K12" i="17"/>
  <c r="C11" i="17" s="1"/>
  <c r="K9" i="17"/>
  <c r="K8" i="17"/>
  <c r="C10" i="17" s="1"/>
  <c r="C7" i="17"/>
  <c r="K7" i="17"/>
  <c r="K6" i="15"/>
  <c r="C16" i="15"/>
  <c r="K13" i="15"/>
  <c r="C12" i="15" s="1"/>
  <c r="K12" i="15"/>
  <c r="C11" i="15" s="1"/>
  <c r="K9" i="15"/>
  <c r="C13" i="15" s="1"/>
  <c r="K8" i="15"/>
  <c r="C10" i="15" s="1"/>
  <c r="C7" i="15"/>
  <c r="K7" i="15"/>
  <c r="K6" i="12"/>
  <c r="K7" i="12"/>
  <c r="K6" i="7"/>
  <c r="K7" i="7" s="1"/>
  <c r="C16" i="14"/>
  <c r="K13" i="14"/>
  <c r="C12" i="14" s="1"/>
  <c r="K12" i="14"/>
  <c r="C11" i="14"/>
  <c r="K9" i="14"/>
  <c r="C13" i="14" s="1"/>
  <c r="K8" i="14"/>
  <c r="C10" i="14" s="1"/>
  <c r="K7" i="14"/>
  <c r="K10" i="14" s="1"/>
  <c r="K11" i="14" s="1"/>
  <c r="C15" i="14" s="1"/>
  <c r="C7" i="14"/>
  <c r="K6" i="14"/>
  <c r="K13" i="12"/>
  <c r="C12" i="12" s="1"/>
  <c r="K12" i="12"/>
  <c r="C11" i="12" s="1"/>
  <c r="K9" i="12"/>
  <c r="K8" i="12"/>
  <c r="C10" i="12" s="1"/>
  <c r="C7" i="12"/>
  <c r="K8" i="7"/>
  <c r="K9" i="7"/>
  <c r="K12" i="7"/>
  <c r="C11" i="7" s="1"/>
  <c r="K13" i="7"/>
  <c r="C12" i="7" s="1"/>
  <c r="C7" i="7"/>
  <c r="K10" i="35" l="1"/>
  <c r="K10" i="32"/>
  <c r="K7" i="31"/>
  <c r="K10" i="31"/>
  <c r="K10" i="29"/>
  <c r="K10" i="28"/>
  <c r="K7" i="27"/>
  <c r="K10" i="27"/>
  <c r="K10" i="25"/>
  <c r="K7" i="24"/>
  <c r="K10" i="24" s="1"/>
  <c r="K7" i="23"/>
  <c r="K10" i="23" s="1"/>
  <c r="K11" i="23" s="1"/>
  <c r="C15" i="23" s="1"/>
  <c r="K10" i="22"/>
  <c r="K11" i="22" s="1"/>
  <c r="K7" i="21"/>
  <c r="K10" i="21" s="1"/>
  <c r="K11" i="21" s="1"/>
  <c r="C15" i="21" s="1"/>
  <c r="K7" i="20"/>
  <c r="K10" i="20" s="1"/>
  <c r="K7" i="19"/>
  <c r="K10" i="19" s="1"/>
  <c r="C14" i="18"/>
  <c r="C13" i="18"/>
  <c r="K10" i="17"/>
  <c r="K11" i="17" s="1"/>
  <c r="C15" i="17" s="1"/>
  <c r="C14" i="17"/>
  <c r="C13" i="17"/>
  <c r="K10" i="15"/>
  <c r="C16" i="12"/>
  <c r="K10" i="12"/>
  <c r="C14" i="12" s="1"/>
  <c r="C14" i="14"/>
  <c r="C13" i="12"/>
  <c r="K10" i="7"/>
  <c r="K11" i="7" s="1"/>
  <c r="C13" i="7"/>
  <c r="C10" i="7"/>
  <c r="K11" i="35" l="1"/>
  <c r="C15" i="35" s="1"/>
  <c r="C14" i="35"/>
  <c r="K11" i="32"/>
  <c r="C15" i="32" s="1"/>
  <c r="C14" i="32"/>
  <c r="K11" i="31"/>
  <c r="C15" i="31" s="1"/>
  <c r="C14" i="31"/>
  <c r="K11" i="29"/>
  <c r="C15" i="29" s="1"/>
  <c r="C14" i="29"/>
  <c r="K11" i="28"/>
  <c r="C15" i="28" s="1"/>
  <c r="C14" i="28"/>
  <c r="K11" i="27"/>
  <c r="C15" i="27" s="1"/>
  <c r="C14" i="27"/>
  <c r="K11" i="25"/>
  <c r="C15" i="25" s="1"/>
  <c r="C14" i="25"/>
  <c r="K11" i="24"/>
  <c r="C15" i="24" s="1"/>
  <c r="C14" i="24"/>
  <c r="C14" i="23"/>
  <c r="C14" i="21"/>
  <c r="K11" i="20"/>
  <c r="C15" i="20" s="1"/>
  <c r="C14" i="20"/>
  <c r="K11" i="19"/>
  <c r="C15" i="19" s="1"/>
  <c r="C14" i="19"/>
  <c r="K11" i="15"/>
  <c r="C15" i="15" s="1"/>
  <c r="C14" i="15"/>
  <c r="K11" i="12"/>
  <c r="C15" i="12" s="1"/>
  <c r="C16" i="7"/>
  <c r="C14" i="7" l="1"/>
  <c r="C15" i="7"/>
</calcChain>
</file>

<file path=xl/sharedStrings.xml><?xml version="1.0" encoding="utf-8"?>
<sst xmlns="http://schemas.openxmlformats.org/spreadsheetml/2006/main" count="682" uniqueCount="81">
  <si>
    <t>Analyze at least 20 separate fields of view either in a random pattern or continguously being careful not to overlap a previous field.</t>
  </si>
  <si>
    <t>Do not incorporate any routine or technique that eliminates coating features that are touching the border of an image or guard frame.</t>
  </si>
  <si>
    <t xml:space="preserve">No determination of porosity can be an exact measurement. Many specimens vary measurably in porosity from one field of view to another, this variation being responsible for a major portion of the uncertainty. Thus, no determination is complete without aldo calculating its precision within normal confidence. In accordance with common engineering practice, this section assumes normal confidence to represent the expectation that the actual error will be within the stated uncertainty 95% of the time. </t>
  </si>
  <si>
    <t>n</t>
  </si>
  <si>
    <t>t</t>
  </si>
  <si>
    <t>95% Confidence Interval Multipliers, t</t>
  </si>
  <si>
    <t>Calculate mean</t>
  </si>
  <si>
    <t>Calculate standard deviation</t>
  </si>
  <si>
    <t>Calculate 95% confidence interval</t>
  </si>
  <si>
    <t>Calculate the percent relative accuracy</t>
  </si>
  <si>
    <t>As a general rule, 10% RA (or lower) is considered to be acceptable precision for most purposes.</t>
  </si>
  <si>
    <t>i</t>
  </si>
  <si>
    <t>Standard Deviation</t>
  </si>
  <si>
    <t>x_i</t>
  </si>
  <si>
    <t>Index</t>
  </si>
  <si>
    <t>Porosity</t>
  </si>
  <si>
    <t>Specification Identification</t>
  </si>
  <si>
    <t>Operator</t>
  </si>
  <si>
    <t>Date</t>
  </si>
  <si>
    <t>95% confidence interval</t>
  </si>
  <si>
    <t>Heriot-Watt University, Dubai Campus</t>
  </si>
  <si>
    <t>Vishakh Kumar</t>
  </si>
  <si>
    <t>Porosity Analysis conducted using thresholding to isolate pores and voids, followd by a binary opening process to remove small features. Consult ASTM E2109 for more information.</t>
  </si>
  <si>
    <t>Number of fields measured</t>
  </si>
  <si>
    <t>Maximum area % porosity</t>
  </si>
  <si>
    <t>Minimum area % porosity</t>
  </si>
  <si>
    <t>Mean area % porosity</t>
  </si>
  <si>
    <t>% Relative Accuracy value</t>
  </si>
  <si>
    <t>Porosity Analysis of Thermal Spray Coatings</t>
  </si>
  <si>
    <t>Open ImageJ.</t>
  </si>
  <si>
    <t>Open the image you would like to use for porosity measurement.</t>
  </si>
  <si>
    <t>Select Image &gt; Type &gt; RGB Color (If not already selected).</t>
  </si>
  <si>
    <t>Select Image &gt; Color &gt; Split Channels.</t>
  </si>
  <si>
    <t>Choose the best channel (For SEM images, the channels will all look the same. However for optical microscope images, the channels will look different. Choose the channel with the most contrast and highest quality. Some may look grainy or dark; avoid using these.)</t>
  </si>
  <si>
    <t>Use the rectangular selection tool to select the largest rectangular section of the coating possible, without including either interface. Crop this selection by selecting Image &gt; Crop, or by pressing “ctrl+shift+x”.</t>
  </si>
  <si>
    <t>Use the threshold tool to select the areas of porosity. Select Image &gt; Adjust &gt; Threshold, or press “ctrl+shift+t”.</t>
  </si>
  <si>
    <t>Drag both slider bars on the threshold menu to the far left to set them both to zero.</t>
  </si>
  <si>
    <t>Slowly increase the value on the lower slider. The darkest regions of the image will become red. Continue to increase this value until all of the dark porosity spots are red.</t>
  </si>
  <si>
    <t>Click Analyze &gt; Analyze Particles.</t>
  </si>
  <si>
    <t>Make sure the only box checked is “Display Results” and click ok.</t>
  </si>
  <si>
    <t>Slowly scroll through the results looking at the “Area” column to see what the largest areas are for the spots. If pull-outs are present, they will be the particles with very large areas. Get a feel for the particle size of pullouts. If dark oxides or noise are present, they will have very small areas. Get a feel for the particle size of oxides and noise as well.</t>
  </si>
  <si>
    <t>Close the displayed results.</t>
  </si>
  <si>
    <t>Select Analyze &gt; Analyze Particles. This time, uncheck display results and click the “Summarize” box. At the very top of the box, in the “Size (pixel^2)” box, put in the area you want to measure. (For example, if you decide that most of the 1 pixel spots are dark oxides or noise, and that areas of more than 50 pixel^2 are pullouts, you would enter 2-50 in the “Size (pixel^2)” box so that areas less than 2 and greater than 50 pixel^2 will not be taken into account for the porosity measurement.)</t>
  </si>
  <si>
    <t>Take the area fraction value from the summary and copy it into an Excel spreadsheet. This value is the percentage of porosity. Repeat this analysis 3 times for each image to ensure accurate data.</t>
  </si>
  <si>
    <t>Average the area fraction for all the images analyzed for the sample to determine the porosity of the sample.</t>
  </si>
  <si>
    <t>Crop region of interest and spit into color channels</t>
  </si>
  <si>
    <t>Select “Apply” on the threshold menu to convert the image to a binary image of the porosity. Make sure that the selection is B&amp;W and has a black background</t>
  </si>
  <si>
    <t>Split image into sub areas</t>
  </si>
  <si>
    <t>Instructions</t>
  </si>
  <si>
    <t>Select Image &gt; Stacks &gt; Tools &gt; Monage to Stack</t>
  </si>
  <si>
    <t>Input 5 rows &amp; 5 columns, and zero cell width. This will split the image into 25 sub images</t>
  </si>
  <si>
    <t>Calculate Area Porosity</t>
  </si>
  <si>
    <t>Calculating Statistics</t>
  </si>
  <si>
    <t xml:space="preserve">Lower Threshold </t>
  </si>
  <si>
    <t>Upper Threshold</t>
  </si>
  <si>
    <t>Magnification Used</t>
  </si>
  <si>
    <t>Threshold Voids &amp; Perform Binary Open operation</t>
  </si>
  <si>
    <t>Select Process &gt; Binary &gt; Open. This will remove the small single pixel artifacts that arise, as well as removing lines.</t>
  </si>
  <si>
    <t>Number of Samples (n)</t>
  </si>
  <si>
    <t>Confidence Interval Multipiers (t)</t>
  </si>
  <si>
    <t>Mean (x_bar)</t>
  </si>
  <si>
    <t>Standard Deviation (S)</t>
  </si>
  <si>
    <t>95% Confidence Interval (95% CI)</t>
  </si>
  <si>
    <t>95% Relative Accuracy (%RA)</t>
  </si>
  <si>
    <t>Minimum (x_min)</t>
  </si>
  <si>
    <t>Maximum (x_max)</t>
  </si>
  <si>
    <t>Gaussian Blur</t>
  </si>
  <si>
    <t>Binary Open</t>
  </si>
  <si>
    <t>HVOF_APS_Al2O3_0250X</t>
  </si>
  <si>
    <t>HVOF_APS_Al2O3_0100X</t>
  </si>
  <si>
    <t>HVOF_APS_Al2O3_1000X</t>
  </si>
  <si>
    <t>HIP_HVOF_APS_Al2O3_1000X</t>
  </si>
  <si>
    <t>HIP_HVOF_APS_Al2O3_0250X</t>
  </si>
  <si>
    <t>SHVOF_0250X</t>
  </si>
  <si>
    <t>SHVOF_1000X</t>
  </si>
  <si>
    <t>HIP_SHVOF_0250X</t>
  </si>
  <si>
    <t>APS_Al2O3_0100X</t>
  </si>
  <si>
    <t>APS_Al2O3_0250X</t>
  </si>
  <si>
    <t>APS_Al2O3_1000X</t>
  </si>
  <si>
    <t>HIP_APS_Al2O3_0250X</t>
  </si>
  <si>
    <t>HIP_APS_Al2O3_1000X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</si>
</sst>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09]mmmm\ d\,\ yyyy;@"/>
    <numFmt numFmtId="165" formatCode="[&lt;=9999999]###\-####;\(###\)\ ###\-####"/>
    <numFmt numFmtId="166" formatCode="0.000"/>
  </numFmts>
  <fonts count="1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1"/>
      <color theme="3"/>
      <name val="Calibri"/>
      <family val="2"/>
      <scheme val="minor"/>
    </font>
    <font>
      <i/>
      <sz val="11"/>
      <color rgb="FF7F7F7F"/>
      <name val="Calibri"/>
      <family val="2"/>
      <scheme val="minor"/>
    </font>
    <font>
      <sz val="12"/>
      <color theme="1"/>
      <name val="Times New Roman"/>
      <family val="1"/>
    </font>
    <font>
      <sz val="11"/>
      <name val="Calibri"/>
      <family val="2"/>
      <scheme val="minor"/>
    </font>
    <font>
      <sz val="15"/>
      <color theme="3"/>
      <name val="Calibri"/>
      <family val="2"/>
      <scheme val="minor"/>
    </font>
    <font>
      <b/>
      <sz val="13"/>
      <color theme="3"/>
      <name val="Calibri"/>
      <family val="2"/>
      <scheme val="minor"/>
    </font>
    <font>
      <sz val="11"/>
      <color rgb="FF000000"/>
      <name val="Calibri"/>
      <family val="2"/>
      <scheme val="minor"/>
    </font>
  </fonts>
  <fills count="3">
    <fill>
      <patternFill patternType="none"/>
    </fill>
    <fill>
      <patternFill patternType="gray125"/>
    </fill>
    <fill>
      <patternFill patternType="solid">
        <fgColor theme="7" tint="0.39997558519241921"/>
        <bgColor indexed="65"/>
      </patternFill>
    </fill>
  </fills>
  <borders count="5">
    <border>
      <left/>
      <right/>
      <top/>
      <bottom/>
      <diagonal/>
    </border>
    <border>
      <left/>
      <right/>
      <top/>
      <bottom style="thick">
        <color theme="4"/>
      </bottom>
      <diagonal/>
    </border>
    <border>
      <left/>
      <right/>
      <top/>
      <bottom style="thick">
        <color theme="4" tint="0.499984740745262"/>
      </bottom>
      <diagonal/>
    </border>
    <border>
      <left style="thin">
        <color theme="4"/>
      </left>
      <right/>
      <top style="thin">
        <color theme="4"/>
      </top>
      <bottom/>
      <diagonal/>
    </border>
    <border>
      <left style="thin">
        <color rgb="FF4472C4"/>
      </left>
      <right/>
      <top style="thin">
        <color rgb="FF4472C4"/>
      </top>
      <bottom/>
      <diagonal/>
    </border>
  </borders>
  <cellStyleXfs count="11">
    <xf numFmtId="0" fontId="0" fillId="0" borderId="0"/>
    <xf numFmtId="9" fontId="1"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0" applyNumberFormat="0" applyFill="0" applyBorder="0" applyAlignment="0" applyProtection="0"/>
    <xf numFmtId="0" fontId="5" fillId="0" borderId="0" applyNumberFormat="0" applyFill="0" applyBorder="0" applyAlignment="0" applyProtection="0"/>
    <xf numFmtId="164" fontId="7" fillId="0" borderId="0" applyFont="0" applyFill="0" applyBorder="0">
      <alignment horizontal="left"/>
    </xf>
    <xf numFmtId="165" fontId="7" fillId="0" borderId="0" applyFont="0" applyFill="0" applyBorder="0">
      <alignment horizontal="left"/>
    </xf>
    <xf numFmtId="0" fontId="7" fillId="0" borderId="0" applyNumberFormat="0" applyFont="0" applyFill="0" applyBorder="0">
      <alignment vertical="center" wrapText="1"/>
    </xf>
    <xf numFmtId="0" fontId="9" fillId="0" borderId="2" applyNumberFormat="0" applyFill="0" applyAlignment="0" applyProtection="0"/>
    <xf numFmtId="0" fontId="1" fillId="2" borderId="0" applyNumberFormat="0" applyBorder="0" applyAlignment="0" applyProtection="0"/>
  </cellStyleXfs>
  <cellXfs count="20">
    <xf numFmtId="0" fontId="0" fillId="0" borderId="0" xfId="0"/>
    <xf numFmtId="0" fontId="0" fillId="0" borderId="0" xfId="0" applyAlignment="1">
      <alignment wrapText="1"/>
    </xf>
    <xf numFmtId="0" fontId="0" fillId="0" borderId="0" xfId="0" applyAlignment="1">
      <alignment horizontal="left"/>
    </xf>
    <xf numFmtId="0" fontId="0" fillId="0" borderId="0" xfId="0" applyAlignment="1">
      <alignment horizontal="left" wrapText="1"/>
    </xf>
    <xf numFmtId="0" fontId="4" fillId="0" borderId="0" xfId="4" applyBorder="1" applyAlignment="1">
      <alignment horizontal="right" indent="1"/>
    </xf>
    <xf numFmtId="0" fontId="5" fillId="0" borderId="0" xfId="5" applyAlignment="1">
      <alignment vertical="top" wrapText="1"/>
    </xf>
    <xf numFmtId="14" fontId="0" fillId="0" borderId="0" xfId="0" applyNumberFormat="1" applyAlignment="1">
      <alignment horizontal="left" wrapText="1"/>
    </xf>
    <xf numFmtId="9" fontId="0" fillId="0" borderId="0" xfId="1" applyFont="1"/>
    <xf numFmtId="0" fontId="8" fillId="0" borderId="1" xfId="3" applyFont="1" applyAlignment="1">
      <alignment horizontal="left"/>
    </xf>
    <xf numFmtId="166" fontId="0" fillId="0" borderId="0" xfId="0" applyNumberFormat="1" applyAlignment="1">
      <alignment horizontal="left"/>
    </xf>
    <xf numFmtId="166" fontId="0" fillId="0" borderId="0" xfId="1" applyNumberFormat="1" applyFont="1" applyAlignment="1">
      <alignment horizontal="left"/>
    </xf>
    <xf numFmtId="166" fontId="1" fillId="2" borderId="0" xfId="10" applyNumberFormat="1" applyAlignment="1">
      <alignment horizontal="left"/>
    </xf>
    <xf numFmtId="0" fontId="0" fillId="0" borderId="3" xfId="0" applyBorder="1"/>
    <xf numFmtId="0" fontId="10" fillId="0" borderId="4" xfId="0" applyFont="1" applyBorder="1"/>
    <xf numFmtId="9" fontId="1" fillId="2" borderId="0" xfId="10" applyNumberFormat="1" applyAlignment="1">
      <alignment horizontal="left"/>
    </xf>
    <xf numFmtId="0" fontId="3" fillId="0" borderId="1" xfId="3" applyAlignment="1">
      <alignment wrapText="1"/>
    </xf>
    <xf numFmtId="0" fontId="6" fillId="0" borderId="0" xfId="0" applyFont="1" applyAlignment="1">
      <alignment vertical="center" wrapText="1"/>
    </xf>
    <xf numFmtId="0" fontId="9" fillId="0" borderId="2" xfId="9" applyAlignment="1">
      <alignment vertical="center" wrapText="1"/>
    </xf>
    <xf numFmtId="0" fontId="2" fillId="0" borderId="0" xfId="2" applyAlignment="1">
      <alignment horizontal="left" vertical="top"/>
    </xf>
    <xf numFmtId="11" fontId="0" fillId="0" borderId="0" xfId="0" applyNumberFormat="1" applyAlignment="1">
      <alignment wrapText="1"/>
    </xf>
  </cellXfs>
  <cellStyles count="11">
    <cellStyle name="60% - Accent4" xfId="10" builtinId="44"/>
    <cellStyle name="Date" xfId="6" xr:uid="{82D20ADE-2C6E-420C-A596-FD4CBB2AE9B5}"/>
    <cellStyle name="Description" xfId="8" xr:uid="{1A7984C5-0C3C-4662-BF2C-DA532023F874}"/>
    <cellStyle name="Explanatory Text" xfId="5" builtinId="53"/>
    <cellStyle name="Heading 1" xfId="3" builtinId="16"/>
    <cellStyle name="Heading 2" xfId="9" builtinId="17"/>
    <cellStyle name="Heading 4" xfId="4" builtinId="19"/>
    <cellStyle name="Normal" xfId="0" builtinId="0"/>
    <cellStyle name="Percent" xfId="1" builtinId="5"/>
    <cellStyle name="Phone" xfId="7" xr:uid="{8D6DBFCC-42C1-4850-A91A-C863ABF5862B}"/>
    <cellStyle name="Title" xfId="2" builtinId="15"/>
  </cellStyles>
  <dxfs count="19">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tif"/></Relationships>
</file>

<file path=xl/drawings/_rels/drawing3.xml.rels><?xml version="1.0" encoding="UTF-8" standalone="yes"?>
<Relationships xmlns="http://schemas.openxmlformats.org/package/2006/relationships"><Relationship Id="rId1" Type="http://schemas.openxmlformats.org/officeDocument/2006/relationships/image" Target="../media/image2.tif"/></Relationships>
</file>

<file path=xl/drawings/_rels/drawing4.xml.rels><?xml version="1.0" encoding="UTF-8" standalone="yes"?>
<Relationships xmlns="http://schemas.openxmlformats.org/package/2006/relationships"><Relationship Id="rId1" Type="http://schemas.openxmlformats.org/officeDocument/2006/relationships/image" Target="../media/image2.tif"/></Relationships>
</file>

<file path=xl/drawings/_rels/drawing5.xml.rels><?xml version="1.0" encoding="UTF-8" standalone="yes"?>
<Relationships xmlns="http://schemas.openxmlformats.org/package/2006/relationships"><Relationship Id="rId1" Type="http://schemas.openxmlformats.org/officeDocument/2006/relationships/image" Target="../media/image3.tif"/></Relationships>
</file>

<file path=xl/drawings/_rels/drawing6.xml.rels><?xml version="1.0" encoding="UTF-8" standalone="yes"?>
<Relationships xmlns="http://schemas.openxmlformats.org/package/2006/relationships"><Relationship Id="rId1" Type="http://schemas.openxmlformats.org/officeDocument/2006/relationships/image" Target="../media/image3.tif"/></Relationships>
</file>

<file path=xl/drawings/_rels/drawing7.xml.rels><?xml version="1.0" encoding="UTF-8" standalone="yes"?>
<Relationships xmlns="http://schemas.openxmlformats.org/package/2006/relationships"><Relationship Id="rId1" Type="http://schemas.openxmlformats.org/officeDocument/2006/relationships/image" Target="../media/image4.tif"/></Relationships>
</file>

<file path=xl/drawings/_rels/drawing8.xml.rels><?xml version="1.0" encoding="UTF-8" standalone="yes"?>
<Relationships xmlns="http://schemas.openxmlformats.org/package/2006/relationships"><Relationship Id="rId1" Type="http://schemas.openxmlformats.org/officeDocument/2006/relationships/image" Target="../media/image4.tif"/></Relationships>
</file>

<file path=xl/drawings/_rels/drawing9.xml.rels><?xml version="1.0" encoding="UTF-8" standalone="yes"?>
<Relationships xmlns="http://schemas.openxmlformats.org/package/2006/relationships"><Relationship Id="rId1" Type="http://schemas.openxmlformats.org/officeDocument/2006/relationships/image" Target="../media/image5.tif"/></Relationships>
</file>

<file path=xl/drawings/_rels/drawing10.xml.rels><?xml version="1.0" encoding="UTF-8" standalone="yes"?>
<Relationships xmlns="http://schemas.openxmlformats.org/package/2006/relationships"><Relationship Id="rId1" Type="http://schemas.openxmlformats.org/officeDocument/2006/relationships/image" Target="../media/image6.tif"/></Relationships>
</file>

<file path=xl/drawings/_rels/drawing11.xml.rels><?xml version="1.0" encoding="UTF-8" standalone="yes"?>
<Relationships xmlns="http://schemas.openxmlformats.org/package/2006/relationships"><Relationship Id="rId1" Type="http://schemas.openxmlformats.org/officeDocument/2006/relationships/image" Target="../media/image6.tif"/></Relationships>
</file>

<file path=xl/drawings/_rels/drawing12.xml.rels><?xml version="1.0" encoding="UTF-8" standalone="yes"?>
<Relationships xmlns="http://schemas.openxmlformats.org/package/2006/relationships"><Relationship Id="rId1" Type="http://schemas.openxmlformats.org/officeDocument/2006/relationships/image" Target="../media/image7.tif"/></Relationships>
</file>

<file path=xl/drawings/_rels/drawing13.xml.rels><?xml version="1.0" encoding="UTF-8" standalone="yes"?>
<Relationships xmlns="http://schemas.openxmlformats.org/package/2006/relationships"><Relationship Id="rId1" Type="http://schemas.openxmlformats.org/officeDocument/2006/relationships/image" Target="../media/image8.tif"/></Relationships>
</file>

<file path=xl/drawings/_rels/drawing14.xml.rels><?xml version="1.0" encoding="UTF-8" standalone="yes"?>
<Relationships xmlns="http://schemas.openxmlformats.org/package/2006/relationships"><Relationship Id="rId1" Type="http://schemas.openxmlformats.org/officeDocument/2006/relationships/image" Target="../media/image9.tif"/></Relationships>
</file>

<file path=xl/drawings/_rels/drawing15.xml.rels><?xml version="1.0" encoding="UTF-8" standalone="yes"?>
<Relationships xmlns="http://schemas.openxmlformats.org/package/2006/relationships"><Relationship Id="rId1" Type="http://schemas.openxmlformats.org/officeDocument/2006/relationships/image" Target="../media/image10.tif"/></Relationships>
</file>

<file path=xl/drawings/_rels/drawing16.xml.rels><?xml version="1.0" encoding="UTF-8" standalone="yes"?>
<Relationships xmlns="http://schemas.openxmlformats.org/package/2006/relationships"><Relationship Id="rId1" Type="http://schemas.openxmlformats.org/officeDocument/2006/relationships/image" Target="../media/image11.tif"/></Relationships>
</file>

<file path=xl/drawings/_rels/drawing17.xml.rels><?xml version="1.0" encoding="UTF-8" standalone="yes"?>
<Relationships xmlns="http://schemas.openxmlformats.org/package/2006/relationships"><Relationship Id="rId1" Type="http://schemas.openxmlformats.org/officeDocument/2006/relationships/image" Target="../media/image12.tif"/></Relationships>
</file>

<file path=xl/drawings/_rels/drawing18.xml.rels><?xml version="1.0" encoding="UTF-8" standalone="yes"?>
<Relationships xmlns="http://schemas.openxmlformats.org/package/2006/relationships"><Relationship Id="rId1" Type="http://schemas.openxmlformats.org/officeDocument/2006/relationships/image" Target="../media/image13.tif"/></Relationships>
</file>

<file path=xl/drawings/_rels/drawing19.xml.rels><?xml version="1.0" encoding="UTF-8" standalone="yes"?>
<Relationships xmlns="http://schemas.openxmlformats.org/package/2006/relationships"><Relationship Id="rId1" Type="http://schemas.openxmlformats.org/officeDocument/2006/relationships/image" Target="../media/image14.tif"/></Relationships>
</file>

<file path=xl/drawings/_rels/drawing20.xml.rels><?xml version="1.0" encoding="UTF-8" standalone="yes"?>
<Relationships xmlns="http://schemas.openxmlformats.org/package/2006/relationships"><Relationship Id="rId1" Type="http://schemas.openxmlformats.org/officeDocument/2006/relationships/image" Target="../media/image14.t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43</xdr:row>
      <xdr:rowOff>127000</xdr:rowOff>
    </xdr:from>
    <xdr:to>
      <xdr:col>3</xdr:col>
      <xdr:colOff>13498</xdr:colOff>
      <xdr:row>57</xdr:row>
      <xdr:rowOff>108321</xdr:rowOff>
    </xdr:to>
    <xdr:pic>
      <xdr:nvPicPr>
        <xdr:cNvPr id="2" name="Picture 1">
          <a:extLst>
            <a:ext uri="{FF2B5EF4-FFF2-40B4-BE49-F238E27FC236}">
              <a16:creationId xmlns:a16="http://schemas.microsoft.com/office/drawing/2014/main" id="{CF0E2141-998F-43BA-B3A5-F61912B3AA6B}"/>
            </a:ext>
          </a:extLst>
        </xdr:cNvPr>
        <xdr:cNvPicPr>
          <a:picLocks noChangeAspect="1"/>
        </xdr:cNvPicPr>
      </xdr:nvPicPr>
      <xdr:blipFill>
        <a:blip xmlns:r="http://schemas.openxmlformats.org/officeDocument/2006/relationships" r:embed="rId1"/>
        <a:stretch>
          <a:fillRect/>
        </a:stretch>
      </xdr:blipFill>
      <xdr:spPr>
        <a:xfrm>
          <a:off x="0" y="16433800"/>
          <a:ext cx="5715798" cy="266102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127000</xdr:colOff>
      <xdr:row>22</xdr:row>
      <xdr:rowOff>12585</xdr:rowOff>
    </xdr:from>
    <xdr:to>
      <xdr:col>3</xdr:col>
      <xdr:colOff>2112</xdr:colOff>
      <xdr:row>42</xdr:row>
      <xdr:rowOff>166569</xdr:rowOff>
    </xdr:to>
    <xdr:pic>
      <xdr:nvPicPr>
        <xdr:cNvPr id="2" name="Picture 1">
          <a:extLst>
            <a:ext uri="{FF2B5EF4-FFF2-40B4-BE49-F238E27FC236}">
              <a16:creationId xmlns:a16="http://schemas.microsoft.com/office/drawing/2014/main" id="{7BFF74D8-3C06-9449-A216-A9885DA180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55600" y="4813185"/>
          <a:ext cx="5285312" cy="396398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127000</xdr:colOff>
      <xdr:row>22</xdr:row>
      <xdr:rowOff>12585</xdr:rowOff>
    </xdr:from>
    <xdr:to>
      <xdr:col>3</xdr:col>
      <xdr:colOff>2112</xdr:colOff>
      <xdr:row>42</xdr:row>
      <xdr:rowOff>166569</xdr:rowOff>
    </xdr:to>
    <xdr:pic>
      <xdr:nvPicPr>
        <xdr:cNvPr id="2" name="Picture 1">
          <a:extLst>
            <a:ext uri="{FF2B5EF4-FFF2-40B4-BE49-F238E27FC236}">
              <a16:creationId xmlns:a16="http://schemas.microsoft.com/office/drawing/2014/main" id="{20AC4D2D-ABA6-4712-8893-9E5F90441F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27025" y="4956060"/>
          <a:ext cx="4751912" cy="396398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127000</xdr:colOff>
      <xdr:row>22</xdr:row>
      <xdr:rowOff>12585</xdr:rowOff>
    </xdr:from>
    <xdr:to>
      <xdr:col>2</xdr:col>
      <xdr:colOff>1907112</xdr:colOff>
      <xdr:row>42</xdr:row>
      <xdr:rowOff>166569</xdr:rowOff>
    </xdr:to>
    <xdr:pic>
      <xdr:nvPicPr>
        <xdr:cNvPr id="2" name="Picture 1">
          <a:extLst>
            <a:ext uri="{FF2B5EF4-FFF2-40B4-BE49-F238E27FC236}">
              <a16:creationId xmlns:a16="http://schemas.microsoft.com/office/drawing/2014/main" id="{3F59661C-F36D-1F4D-82A8-A4DCB01EDB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55600" y="4813185"/>
          <a:ext cx="5285312" cy="396398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127000</xdr:colOff>
      <xdr:row>22</xdr:row>
      <xdr:rowOff>12585</xdr:rowOff>
    </xdr:from>
    <xdr:to>
      <xdr:col>2</xdr:col>
      <xdr:colOff>1907112</xdr:colOff>
      <xdr:row>42</xdr:row>
      <xdr:rowOff>166569</xdr:rowOff>
    </xdr:to>
    <xdr:pic>
      <xdr:nvPicPr>
        <xdr:cNvPr id="2" name="Picture 1">
          <a:extLst>
            <a:ext uri="{FF2B5EF4-FFF2-40B4-BE49-F238E27FC236}">
              <a16:creationId xmlns:a16="http://schemas.microsoft.com/office/drawing/2014/main" id="{72F3732A-46C0-EF46-BEE5-7E446177B6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55600" y="4813185"/>
          <a:ext cx="5285312" cy="396398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127000</xdr:colOff>
      <xdr:row>22</xdr:row>
      <xdr:rowOff>12585</xdr:rowOff>
    </xdr:from>
    <xdr:to>
      <xdr:col>2</xdr:col>
      <xdr:colOff>1907112</xdr:colOff>
      <xdr:row>42</xdr:row>
      <xdr:rowOff>166569</xdr:rowOff>
    </xdr:to>
    <xdr:pic>
      <xdr:nvPicPr>
        <xdr:cNvPr id="2" name="Picture 1">
          <a:extLst>
            <a:ext uri="{FF2B5EF4-FFF2-40B4-BE49-F238E27FC236}">
              <a16:creationId xmlns:a16="http://schemas.microsoft.com/office/drawing/2014/main" id="{DCD02D27-7FE6-EC48-85D9-416CF34E7C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55600" y="4813185"/>
          <a:ext cx="5285312" cy="396398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127000</xdr:colOff>
      <xdr:row>22</xdr:row>
      <xdr:rowOff>12585</xdr:rowOff>
    </xdr:from>
    <xdr:to>
      <xdr:col>2</xdr:col>
      <xdr:colOff>1907112</xdr:colOff>
      <xdr:row>42</xdr:row>
      <xdr:rowOff>166569</xdr:rowOff>
    </xdr:to>
    <xdr:pic>
      <xdr:nvPicPr>
        <xdr:cNvPr id="2" name="Picture 1">
          <a:extLst>
            <a:ext uri="{FF2B5EF4-FFF2-40B4-BE49-F238E27FC236}">
              <a16:creationId xmlns:a16="http://schemas.microsoft.com/office/drawing/2014/main" id="{1E0ADE37-CA23-4C42-9251-8B6FA7B30D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55600" y="4813185"/>
          <a:ext cx="5285312" cy="396398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127000</xdr:colOff>
      <xdr:row>22</xdr:row>
      <xdr:rowOff>12585</xdr:rowOff>
    </xdr:from>
    <xdr:to>
      <xdr:col>2</xdr:col>
      <xdr:colOff>1907112</xdr:colOff>
      <xdr:row>42</xdr:row>
      <xdr:rowOff>166569</xdr:rowOff>
    </xdr:to>
    <xdr:pic>
      <xdr:nvPicPr>
        <xdr:cNvPr id="2" name="Picture 1">
          <a:extLst>
            <a:ext uri="{FF2B5EF4-FFF2-40B4-BE49-F238E27FC236}">
              <a16:creationId xmlns:a16="http://schemas.microsoft.com/office/drawing/2014/main" id="{020FF7B2-B4EE-EE48-AF02-188E50EA4D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55600" y="4813185"/>
          <a:ext cx="5285312" cy="396398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127000</xdr:colOff>
      <xdr:row>22</xdr:row>
      <xdr:rowOff>12585</xdr:rowOff>
    </xdr:from>
    <xdr:to>
      <xdr:col>2</xdr:col>
      <xdr:colOff>1907113</xdr:colOff>
      <xdr:row>42</xdr:row>
      <xdr:rowOff>166569</xdr:rowOff>
    </xdr:to>
    <xdr:pic>
      <xdr:nvPicPr>
        <xdr:cNvPr id="2" name="Picture 1">
          <a:extLst>
            <a:ext uri="{FF2B5EF4-FFF2-40B4-BE49-F238E27FC236}">
              <a16:creationId xmlns:a16="http://schemas.microsoft.com/office/drawing/2014/main" id="{EB51C154-C601-8A44-870D-9AD9594E35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55600" y="4813185"/>
          <a:ext cx="5285313" cy="3963984"/>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127000</xdr:colOff>
      <xdr:row>22</xdr:row>
      <xdr:rowOff>12585</xdr:rowOff>
    </xdr:from>
    <xdr:to>
      <xdr:col>2</xdr:col>
      <xdr:colOff>1907112</xdr:colOff>
      <xdr:row>42</xdr:row>
      <xdr:rowOff>166569</xdr:rowOff>
    </xdr:to>
    <xdr:pic>
      <xdr:nvPicPr>
        <xdr:cNvPr id="2" name="Picture 1">
          <a:extLst>
            <a:ext uri="{FF2B5EF4-FFF2-40B4-BE49-F238E27FC236}">
              <a16:creationId xmlns:a16="http://schemas.microsoft.com/office/drawing/2014/main" id="{429D274D-3B4F-3345-879C-10E99DEEB1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55600" y="4813185"/>
          <a:ext cx="5285312" cy="396398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127000</xdr:colOff>
      <xdr:row>22</xdr:row>
      <xdr:rowOff>12585</xdr:rowOff>
    </xdr:from>
    <xdr:to>
      <xdr:col>2</xdr:col>
      <xdr:colOff>1907112</xdr:colOff>
      <xdr:row>42</xdr:row>
      <xdr:rowOff>166569</xdr:rowOff>
    </xdr:to>
    <xdr:pic>
      <xdr:nvPicPr>
        <xdr:cNvPr id="2" name="Picture 1">
          <a:extLst>
            <a:ext uri="{FF2B5EF4-FFF2-40B4-BE49-F238E27FC236}">
              <a16:creationId xmlns:a16="http://schemas.microsoft.com/office/drawing/2014/main" id="{4359378C-68EC-AF41-B702-2F4F011D8B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55600" y="4813185"/>
          <a:ext cx="5285312" cy="396398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127000</xdr:colOff>
      <xdr:row>22</xdr:row>
      <xdr:rowOff>12585</xdr:rowOff>
    </xdr:from>
    <xdr:to>
      <xdr:col>2</xdr:col>
      <xdr:colOff>1907112</xdr:colOff>
      <xdr:row>42</xdr:row>
      <xdr:rowOff>166569</xdr:rowOff>
    </xdr:to>
    <xdr:pic>
      <xdr:nvPicPr>
        <xdr:cNvPr id="2" name="Picture 1">
          <a:extLst>
            <a:ext uri="{FF2B5EF4-FFF2-40B4-BE49-F238E27FC236}">
              <a16:creationId xmlns:a16="http://schemas.microsoft.com/office/drawing/2014/main" id="{8A10E0C7-55E3-FC43-A201-C66F270E37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55600" y="4813185"/>
          <a:ext cx="5285312" cy="396398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127000</xdr:colOff>
      <xdr:row>22</xdr:row>
      <xdr:rowOff>12585</xdr:rowOff>
    </xdr:from>
    <xdr:to>
      <xdr:col>2</xdr:col>
      <xdr:colOff>1907112</xdr:colOff>
      <xdr:row>42</xdr:row>
      <xdr:rowOff>166569</xdr:rowOff>
    </xdr:to>
    <xdr:pic>
      <xdr:nvPicPr>
        <xdr:cNvPr id="2" name="Picture 1">
          <a:extLst>
            <a:ext uri="{FF2B5EF4-FFF2-40B4-BE49-F238E27FC236}">
              <a16:creationId xmlns:a16="http://schemas.microsoft.com/office/drawing/2014/main" id="{4C844812-6C1C-0645-A547-6FF6914F33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55600" y="4813185"/>
          <a:ext cx="5285312" cy="3963984"/>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127000</xdr:colOff>
      <xdr:row>22</xdr:row>
      <xdr:rowOff>12585</xdr:rowOff>
    </xdr:from>
    <xdr:to>
      <xdr:col>2</xdr:col>
      <xdr:colOff>1907112</xdr:colOff>
      <xdr:row>42</xdr:row>
      <xdr:rowOff>166569</xdr:rowOff>
    </xdr:to>
    <xdr:pic>
      <xdr:nvPicPr>
        <xdr:cNvPr id="2" name="Picture 1">
          <a:extLst>
            <a:ext uri="{FF2B5EF4-FFF2-40B4-BE49-F238E27FC236}">
              <a16:creationId xmlns:a16="http://schemas.microsoft.com/office/drawing/2014/main" id="{DAE27203-69C4-DF45-A5CE-C9675FA35D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55600" y="4813185"/>
          <a:ext cx="5285312" cy="396398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127000</xdr:colOff>
      <xdr:row>22</xdr:row>
      <xdr:rowOff>12585</xdr:rowOff>
    </xdr:from>
    <xdr:to>
      <xdr:col>2</xdr:col>
      <xdr:colOff>1907113</xdr:colOff>
      <xdr:row>42</xdr:row>
      <xdr:rowOff>166570</xdr:rowOff>
    </xdr:to>
    <xdr:pic>
      <xdr:nvPicPr>
        <xdr:cNvPr id="2" name="Picture 1">
          <a:extLst>
            <a:ext uri="{FF2B5EF4-FFF2-40B4-BE49-F238E27FC236}">
              <a16:creationId xmlns:a16="http://schemas.microsoft.com/office/drawing/2014/main" id="{2849FE44-A7E1-CA4B-9CA1-A59D0018DC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55600" y="4813185"/>
          <a:ext cx="5285313" cy="3963985"/>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127000</xdr:colOff>
      <xdr:row>22</xdr:row>
      <xdr:rowOff>12585</xdr:rowOff>
    </xdr:from>
    <xdr:to>
      <xdr:col>2</xdr:col>
      <xdr:colOff>1907114</xdr:colOff>
      <xdr:row>42</xdr:row>
      <xdr:rowOff>166570</xdr:rowOff>
    </xdr:to>
    <xdr:pic>
      <xdr:nvPicPr>
        <xdr:cNvPr id="2" name="Picture 1">
          <a:extLst>
            <a:ext uri="{FF2B5EF4-FFF2-40B4-BE49-F238E27FC236}">
              <a16:creationId xmlns:a16="http://schemas.microsoft.com/office/drawing/2014/main" id="{05D7B889-27A0-C145-B3C1-3798131FB8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55600" y="4825885"/>
          <a:ext cx="5285314" cy="3963985"/>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127000</xdr:colOff>
      <xdr:row>22</xdr:row>
      <xdr:rowOff>12585</xdr:rowOff>
    </xdr:from>
    <xdr:to>
      <xdr:col>2</xdr:col>
      <xdr:colOff>1907114</xdr:colOff>
      <xdr:row>42</xdr:row>
      <xdr:rowOff>166570</xdr:rowOff>
    </xdr:to>
    <xdr:pic>
      <xdr:nvPicPr>
        <xdr:cNvPr id="5" name="Picture 4">
          <a:extLst>
            <a:ext uri="{FF2B5EF4-FFF2-40B4-BE49-F238E27FC236}">
              <a16:creationId xmlns:a16="http://schemas.microsoft.com/office/drawing/2014/main" id="{8F3B33EA-211F-AD39-D03E-EE134B6545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55600" y="4825885"/>
          <a:ext cx="5285314" cy="3963985"/>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127000</xdr:colOff>
      <xdr:row>22</xdr:row>
      <xdr:rowOff>12585</xdr:rowOff>
    </xdr:from>
    <xdr:to>
      <xdr:col>2</xdr:col>
      <xdr:colOff>1907113</xdr:colOff>
      <xdr:row>42</xdr:row>
      <xdr:rowOff>166570</xdr:rowOff>
    </xdr:to>
    <xdr:pic>
      <xdr:nvPicPr>
        <xdr:cNvPr id="2" name="Picture 1">
          <a:extLst>
            <a:ext uri="{FF2B5EF4-FFF2-40B4-BE49-F238E27FC236}">
              <a16:creationId xmlns:a16="http://schemas.microsoft.com/office/drawing/2014/main" id="{6A325260-225B-5F43-B73A-DB92A6F77A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55600" y="4813185"/>
          <a:ext cx="5285313" cy="3963985"/>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127000</xdr:colOff>
      <xdr:row>22</xdr:row>
      <xdr:rowOff>12585</xdr:rowOff>
    </xdr:from>
    <xdr:to>
      <xdr:col>2</xdr:col>
      <xdr:colOff>1907113</xdr:colOff>
      <xdr:row>42</xdr:row>
      <xdr:rowOff>166569</xdr:rowOff>
    </xdr:to>
    <xdr:pic>
      <xdr:nvPicPr>
        <xdr:cNvPr id="2" name="Picture 1">
          <a:extLst>
            <a:ext uri="{FF2B5EF4-FFF2-40B4-BE49-F238E27FC236}">
              <a16:creationId xmlns:a16="http://schemas.microsoft.com/office/drawing/2014/main" id="{8ED54731-3811-7E4B-B3B6-EE54577977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55600" y="4825885"/>
          <a:ext cx="5285313" cy="3963984"/>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127000</xdr:colOff>
      <xdr:row>22</xdr:row>
      <xdr:rowOff>12585</xdr:rowOff>
    </xdr:from>
    <xdr:to>
      <xdr:col>2</xdr:col>
      <xdr:colOff>1907113</xdr:colOff>
      <xdr:row>42</xdr:row>
      <xdr:rowOff>166569</xdr:rowOff>
    </xdr:to>
    <xdr:pic>
      <xdr:nvPicPr>
        <xdr:cNvPr id="2" name="Picture 1">
          <a:extLst>
            <a:ext uri="{FF2B5EF4-FFF2-40B4-BE49-F238E27FC236}">
              <a16:creationId xmlns:a16="http://schemas.microsoft.com/office/drawing/2014/main" id="{F128C9BF-792C-E040-B5A9-FA65DD5585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355600" y="4825885"/>
          <a:ext cx="5285313" cy="3963984"/>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D9BC3DD7-8750-6E44-AB21-9CDC7DDCB326}" name="porosity_readings1119212327293133" displayName="porosity_readings1119212327293133" ref="G6:H26" totalsRowShown="0">
  <autoFilter ref="G6:H26" xr:uid="{39F5B725-3658-4370-AD84-8EF1D7498750}"/>
  <sortState xmlns:xlrd2="http://schemas.microsoft.com/office/spreadsheetml/2017/richdata2" ref="G7:H56">
    <sortCondition ref="H6:H56"/>
  </sortState>
  <tableColumns count="2">
    <tableColumn id="1" xr3:uid="{DCA6EA1F-6815-E440-A009-CADA4F67FFF0}" name="i"/>
    <tableColumn id="2" xr3:uid="{780319A9-0BEF-154C-8A1A-8679242C4D93}" name="x_i" dataDxfId="1"/>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7606B27-94FF-1E42-B1C1-FA0BEE6039D4}" name="confidence_95_multiplier1220222428303234" displayName="confidence_95_multiplier1220222428303234" ref="J16:K29" totalsRowShown="0">
  <autoFilter ref="J16:K29" xr:uid="{F3F45B90-DB81-44FE-A308-205A63E21C5A}"/>
  <tableColumns count="2">
    <tableColumn id="1" xr3:uid="{0D36E7C6-BE45-8145-B5A1-3A0BBE37F4A1}" name="n"/>
    <tableColumn id="2" xr3:uid="{131A5828-15DF-2248-B117-6183C6A8B4E2}" name="t"/>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18A64C7-F6DB-43B9-8155-251B3F6888E6}" name="porosity_readings11192123272931334" displayName="porosity_readings11192123272931334" ref="G6:H26" totalsRowShown="0">
  <autoFilter ref="G6:H26" xr:uid="{39F5B725-3658-4370-AD84-8EF1D7498750}"/>
  <sortState xmlns:xlrd2="http://schemas.microsoft.com/office/spreadsheetml/2017/richdata2" ref="G7:H56">
    <sortCondition ref="H6:H56"/>
  </sortState>
  <tableColumns count="2">
    <tableColumn id="1" xr3:uid="{B1550CD4-57FF-441A-B769-D8E0F05EFF20}" name="i"/>
    <tableColumn id="2" xr3:uid="{F13F635C-2EE4-4CAB-B34E-5538FAB6665E}" name="x_i" dataDxfId="0"/>
  </tableColumns>
  <tableStyleInfo name="TableStyleLight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3BACA270-87BA-4A4C-9338-0D317A7D061C}" name="confidence_95_multiplier12202224283032346" displayName="confidence_95_multiplier12202224283032346" ref="J16:K29" totalsRowShown="0">
  <autoFilter ref="J16:K29" xr:uid="{F3F45B90-DB81-44FE-A308-205A63E21C5A}"/>
  <tableColumns count="2">
    <tableColumn id="1" xr3:uid="{455A4514-23F3-4C6A-9A1A-A27E84B1241C}" name="n"/>
    <tableColumn id="2" xr3:uid="{39AC795A-0E41-4402-88FB-E6176EB1BE3F}" name="t"/>
  </tableColumns>
  <tableStyleInfo name="TableStyleLight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87B2F2D5-6503-B044-930E-B8AFBA6F49B4}" name="porosity_readings111921232729313343" displayName="porosity_readings111921232729313343" ref="G6:H66" totalsRowShown="0">
  <autoFilter ref="G6:H66" xr:uid="{39F5B725-3658-4370-AD84-8EF1D7498750}"/>
  <sortState xmlns:xlrd2="http://schemas.microsoft.com/office/spreadsheetml/2017/richdata2" ref="G7:H56">
    <sortCondition ref="H6:H56"/>
  </sortState>
  <tableColumns count="2">
    <tableColumn id="1" xr3:uid="{855FD277-6A80-CC46-A37E-8CC73A12E1C2}" name="i"/>
    <tableColumn id="2" xr3:uid="{599440E8-5C0A-244A-B801-0EDFCBABA4A7}" name="x_i" dataDxfId="18"/>
  </tableColumns>
  <tableStyleInfo name="TableStyleLight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D4347A41-7C48-CF4D-B756-DCC053F8B14D}" name="confidence_95_multiplier122022242830323444" displayName="confidence_95_multiplier122022242830323444" ref="J16:K29" totalsRowShown="0">
  <autoFilter ref="J16:K29" xr:uid="{F3F45B90-DB81-44FE-A308-205A63E21C5A}"/>
  <tableColumns count="2">
    <tableColumn id="1" xr3:uid="{A76CB4EE-2F7A-874F-9D2B-AD17FE5A189E}" name="n"/>
    <tableColumn id="2" xr3:uid="{270E5357-0051-C643-9E7F-F7175F78C0F4}" name="t"/>
  </tableColumns>
  <tableStyleInfo name="TableStyleLight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388373F0-9AD0-534C-A788-2E1CF9CD18F3}" name="porosity_readings111921232729313541" displayName="porosity_readings111921232729313541" ref="G6:H36" totalsRowShown="0">
  <autoFilter ref="G6:H36" xr:uid="{39F5B725-3658-4370-AD84-8EF1D7498750}"/>
  <sortState xmlns:xlrd2="http://schemas.microsoft.com/office/spreadsheetml/2017/richdata2" ref="G7:H56">
    <sortCondition ref="H6:H56"/>
  </sortState>
  <tableColumns count="2">
    <tableColumn id="1" xr3:uid="{74B0329C-8350-BB4E-A6A8-E2CCE5FFBF49}" name="i"/>
    <tableColumn id="2" xr3:uid="{33464416-2715-B745-B9B1-3A9E97569E23}" name="x_i" dataDxfId="17"/>
  </tableColumns>
  <tableStyleInfo name="TableStyleLight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F9352794-6182-1A4D-8873-AA2E1FF1A38B}" name="confidence_95_multiplier122022242830323642" displayName="confidence_95_multiplier122022242830323642" ref="J16:K29" totalsRowShown="0">
  <autoFilter ref="J16:K29" xr:uid="{F3F45B90-DB81-44FE-A308-205A63E21C5A}"/>
  <tableColumns count="2">
    <tableColumn id="1" xr3:uid="{477AAB43-F6D6-2C42-AC14-6F479D3E132F}" name="n"/>
    <tableColumn id="2" xr3:uid="{AB391ACB-1139-B440-B72C-64D66AF55443}" name="t"/>
  </tableColumns>
  <tableStyleInfo name="TableStyleLight9"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28428C66-5DDB-904E-894D-8DD385579443}" name="porosity_readings1119212327293135" displayName="porosity_readings1119212327293135" ref="G6:H46" totalsRowShown="0">
  <autoFilter ref="G6:H46" xr:uid="{39F5B725-3658-4370-AD84-8EF1D7498750}"/>
  <sortState xmlns:xlrd2="http://schemas.microsoft.com/office/spreadsheetml/2017/richdata2" ref="G7:H56">
    <sortCondition ref="H6:H56"/>
  </sortState>
  <tableColumns count="2">
    <tableColumn id="1" xr3:uid="{082B0168-B72F-0F41-AF29-17D66B1BABBF}" name="i"/>
    <tableColumn id="2" xr3:uid="{760854CF-8839-DF49-873D-6967A174E316}" name="x_i" dataDxfId="16"/>
  </tableColumns>
  <tableStyleInfo name="TableStyleLight9"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95946AF2-AC0C-8A40-A330-44D0D6DFF7E4}" name="confidence_95_multiplier1220222428303236" displayName="confidence_95_multiplier1220222428303236" ref="J16:K29" totalsRowShown="0">
  <autoFilter ref="J16:K29" xr:uid="{F3F45B90-DB81-44FE-A308-205A63E21C5A}"/>
  <tableColumns count="2">
    <tableColumn id="1" xr3:uid="{1183CE01-C656-824E-9803-3894F20BD319}" name="n"/>
    <tableColumn id="2" xr3:uid="{173C0405-81C7-D84A-9269-09E3ED0550A6}" name="t"/>
  </tableColumns>
  <tableStyleInfo name="TableStyleLight9"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C625DE94-85A2-FB44-8151-CBC3A7804944}" name="porosity_readings11192123272931" displayName="porosity_readings11192123272931" ref="G6:H66" totalsRowShown="0">
  <autoFilter ref="G6:H66" xr:uid="{39F5B725-3658-4370-AD84-8EF1D7498750}"/>
  <sortState xmlns:xlrd2="http://schemas.microsoft.com/office/spreadsheetml/2017/richdata2" ref="G7:H56">
    <sortCondition ref="H6:H56"/>
  </sortState>
  <tableColumns count="2">
    <tableColumn id="1" xr3:uid="{EAB64012-1215-3A45-B7B3-EF3B249DFAD8}" name="i"/>
    <tableColumn id="2" xr3:uid="{3AFCF763-8B3E-7A45-AEB1-A9168A1454EA}" name="x_i" dataDxfId="15"/>
  </tableColumns>
  <tableStyleInfo name="TableStyleLight9"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1D060D18-BE02-E341-B5BD-B9C714B429BD}" name="confidence_95_multiplier12202224283032" displayName="confidence_95_multiplier12202224283032" ref="J16:K29" totalsRowShown="0">
  <autoFilter ref="J16:K29" xr:uid="{F3F45B90-DB81-44FE-A308-205A63E21C5A}"/>
  <tableColumns count="2">
    <tableColumn id="1" xr3:uid="{DC934C8A-092A-474C-879F-CE03E53C2BF4}" name="n"/>
    <tableColumn id="2" xr3:uid="{8E9EFB77-62CE-C24A-8DD9-7123ECF26F53}" name="t"/>
  </tableColumns>
  <tableStyleInfo name="TableStyleLight9"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8038A32D-0225-5F43-A87C-988135821B7C}" name="porosity_readings1119212327293139" displayName="porosity_readings1119212327293139" ref="G6:H46" totalsRowShown="0">
  <autoFilter ref="G6:H46" xr:uid="{39F5B725-3658-4370-AD84-8EF1D7498750}"/>
  <sortState xmlns:xlrd2="http://schemas.microsoft.com/office/spreadsheetml/2017/richdata2" ref="G7:H56">
    <sortCondition ref="H6:H56"/>
  </sortState>
  <tableColumns count="2">
    <tableColumn id="1" xr3:uid="{E114C41A-74C5-9A47-9863-5494F232D2C8}" name="i"/>
    <tableColumn id="2" xr3:uid="{7E91FA48-B96F-3046-8884-5F089D467B81}" name="x_i" dataDxfId="14"/>
  </tableColumns>
  <tableStyleInfo name="TableStyleLight9"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4EA3D1BD-ECD4-1745-ABE8-8F86F2016EA4}" name="confidence_95_multiplier1220222428303240" displayName="confidence_95_multiplier1220222428303240" ref="J16:K29" totalsRowShown="0">
  <autoFilter ref="J16:K29" xr:uid="{F3F45B90-DB81-44FE-A308-205A63E21C5A}"/>
  <tableColumns count="2">
    <tableColumn id="1" xr3:uid="{030AB64E-9E9F-834D-9074-A2A5BF2FE628}" name="n"/>
    <tableColumn id="2" xr3:uid="{C93916C5-D3A1-1B46-8136-C41169E1E2DD}" name="t"/>
  </tableColumns>
  <tableStyleInfo name="TableStyleLight9"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4D6B8F4C-904A-334C-970C-01671CFA50E9}" name="porosity_readings111921" displayName="porosity_readings111921" ref="G6:H31" totalsRowShown="0">
  <autoFilter ref="G6:H31" xr:uid="{39F5B725-3658-4370-AD84-8EF1D7498750}"/>
  <sortState xmlns:xlrd2="http://schemas.microsoft.com/office/spreadsheetml/2017/richdata2" ref="G7:H56">
    <sortCondition ref="H6:H56"/>
  </sortState>
  <tableColumns count="2">
    <tableColumn id="1" xr3:uid="{C793BE24-1990-804F-AB1E-1C22151EB4B1}" name="i"/>
    <tableColumn id="2" xr3:uid="{719632F5-1A74-094C-A602-0416E3D26D90}" name="x_i" dataDxfId="13"/>
  </tableColumns>
  <tableStyleInfo name="TableStyleLight9"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FAF1EECA-BCDC-EB48-932F-F016D4A96653}" name="confidence_95_multiplier122022" displayName="confidence_95_multiplier122022" ref="J16:K29" totalsRowShown="0">
  <autoFilter ref="J16:K29" xr:uid="{F3F45B90-DB81-44FE-A308-205A63E21C5A}"/>
  <tableColumns count="2">
    <tableColumn id="1" xr3:uid="{280EE9E3-C1C9-0542-8849-DC2CC64F477E}" name="n"/>
    <tableColumn id="2" xr3:uid="{79D8C3E9-FB59-4447-B019-FE891021E35C}" name="t"/>
  </tableColumns>
  <tableStyleInfo name="TableStyleLight9"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A30F4296-A1D0-2740-AB7F-60FDE382D3A7}" name="porosity_readings1119212347" displayName="porosity_readings1119212347" ref="G6:H46" totalsRowShown="0">
  <autoFilter ref="G6:H46" xr:uid="{39F5B725-3658-4370-AD84-8EF1D7498750}"/>
  <sortState xmlns:xlrd2="http://schemas.microsoft.com/office/spreadsheetml/2017/richdata2" ref="G7:H56">
    <sortCondition ref="H6:H56"/>
  </sortState>
  <tableColumns count="2">
    <tableColumn id="1" xr3:uid="{55D03735-7607-E94B-93C0-C7A26337335A}" name="i"/>
    <tableColumn id="2" xr3:uid="{EFADE28E-2F65-BA49-820F-625E06B26E49}" name="x_i" dataDxfId="12"/>
  </tableColumns>
  <tableStyleInfo name="TableStyleLight9"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49E75E56-F099-5A43-A67D-39A2EF03232B}" name="confidence_95_multiplier1220222448" displayName="confidence_95_multiplier1220222448" ref="J16:K29" totalsRowShown="0">
  <autoFilter ref="J16:K29" xr:uid="{F3F45B90-DB81-44FE-A308-205A63E21C5A}"/>
  <tableColumns count="2">
    <tableColumn id="1" xr3:uid="{5A4B1314-FCA8-814F-9DEF-884BB5D3E8D3}" name="n"/>
    <tableColumn id="2" xr3:uid="{B12A97F7-2813-1643-B675-738AA2BBA954}" name="t"/>
  </tableColumns>
  <tableStyleInfo name="TableStyleLight9"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E0905DF-7C0B-FC49-BB13-BB6DC4642D4E}" name="porosity_readings11192123" displayName="porosity_readings11192123" ref="G6:H66" totalsRowShown="0">
  <autoFilter ref="G6:H66" xr:uid="{39F5B725-3658-4370-AD84-8EF1D7498750}"/>
  <sortState xmlns:xlrd2="http://schemas.microsoft.com/office/spreadsheetml/2017/richdata2" ref="G7:H56">
    <sortCondition ref="H6:H56"/>
  </sortState>
  <tableColumns count="2">
    <tableColumn id="1" xr3:uid="{05E0AC59-129F-0C4D-8416-D6739E1547A0}" name="i"/>
    <tableColumn id="2" xr3:uid="{ECAC3A82-CA9C-234C-B232-6B6D87986B4D}" name="x_i" dataDxfId="11"/>
  </tableColumns>
  <tableStyleInfo name="TableStyleLight9"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736A7C4D-16C9-8C49-9476-2E38B69D9130}" name="confidence_95_multiplier12202224" displayName="confidence_95_multiplier12202224" ref="J16:K29" totalsRowShown="0">
  <autoFilter ref="J16:K29" xr:uid="{F3F45B90-DB81-44FE-A308-205A63E21C5A}"/>
  <tableColumns count="2">
    <tableColumn id="1" xr3:uid="{BD461D7C-2E29-AD46-B66C-E186775CCB5E}" name="n"/>
    <tableColumn id="2" xr3:uid="{25B25A67-C42B-6143-9C71-8FAF1EA2EEA4}" name="t"/>
  </tableColumns>
  <tableStyleInfo name="TableStyleLight9"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1FEC8532-0AF7-724A-B732-686A6B6178CF}" name="porosity_readings1119212325" displayName="porosity_readings1119212325" ref="G6:H26" totalsRowShown="0">
  <autoFilter ref="G6:H26" xr:uid="{39F5B725-3658-4370-AD84-8EF1D7498750}"/>
  <sortState xmlns:xlrd2="http://schemas.microsoft.com/office/spreadsheetml/2017/richdata2" ref="G7:H56">
    <sortCondition ref="H6:H56"/>
  </sortState>
  <tableColumns count="2">
    <tableColumn id="1" xr3:uid="{384D24A5-9536-5D44-90D3-4F73C02C8421}" name="i"/>
    <tableColumn id="2" xr3:uid="{208782B8-6B66-4943-985A-64CC36FAA98C}" name="x_i" dataDxfId="10"/>
  </tableColumns>
  <tableStyleInfo name="TableStyleLight9"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93C64A5D-2C86-B543-8ADA-5CDC408AEF4F}" name="confidence_95_multiplier1220222426" displayName="confidence_95_multiplier1220222426" ref="J16:K29" totalsRowShown="0">
  <autoFilter ref="J16:K29" xr:uid="{F3F45B90-DB81-44FE-A308-205A63E21C5A}"/>
  <tableColumns count="2">
    <tableColumn id="1" xr3:uid="{72512B36-FEBC-E942-8BA4-A772BE905EDE}" name="n"/>
    <tableColumn id="2" xr3:uid="{B4C33717-2AA2-FA40-818E-5519CC47B258}" name="t"/>
  </tableColumns>
  <tableStyleInfo name="TableStyleLight9"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BAFE132E-6513-0A47-A6AF-3F3F7C05AD66}" name="porosity_readings1119212327" displayName="porosity_readings1119212327" ref="G6:H66" totalsRowShown="0">
  <autoFilter ref="G6:H66" xr:uid="{39F5B725-3658-4370-AD84-8EF1D7498750}"/>
  <sortState xmlns:xlrd2="http://schemas.microsoft.com/office/spreadsheetml/2017/richdata2" ref="G7:H56">
    <sortCondition ref="H6:H56"/>
  </sortState>
  <tableColumns count="2">
    <tableColumn id="1" xr3:uid="{0F43530B-CCD8-EC44-82F1-6E3C97469754}" name="i"/>
    <tableColumn id="2" xr3:uid="{8D9535E4-7081-4E45-8A8A-30CC7AC51E3B}" name="x_i" dataDxfId="9"/>
  </tableColumns>
  <tableStyleInfo name="TableStyleLight9"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3639810E-BC29-D143-A42D-5C179B7BCD13}" name="confidence_95_multiplier1220222428" displayName="confidence_95_multiplier1220222428" ref="J16:K29" totalsRowShown="0">
  <autoFilter ref="J16:K29" xr:uid="{F3F45B90-DB81-44FE-A308-205A63E21C5A}"/>
  <tableColumns count="2">
    <tableColumn id="1" xr3:uid="{A9852908-A0C0-0642-9978-8A3E54381A46}" name="n"/>
    <tableColumn id="2" xr3:uid="{4DA11691-D3F0-E74A-8FA2-D7EF6121932D}" name="t"/>
  </tableColumns>
  <tableStyleInfo name="TableStyleLight9"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94473B35-5271-8E4E-A1B5-A1D3F9E0BA99}" name="porosity_readings111921232729" displayName="porosity_readings111921232729" ref="G6:H66" totalsRowShown="0">
  <autoFilter ref="G6:H66" xr:uid="{39F5B725-3658-4370-AD84-8EF1D7498750}"/>
  <sortState xmlns:xlrd2="http://schemas.microsoft.com/office/spreadsheetml/2017/richdata2" ref="G7:H56">
    <sortCondition ref="H6:H56"/>
  </sortState>
  <tableColumns count="2">
    <tableColumn id="1" xr3:uid="{A2534236-31FD-A143-A83C-A2EDD5C002D2}" name="i"/>
    <tableColumn id="2" xr3:uid="{47028B99-D978-FB48-96A3-7B35351B561C}" name="x_i" dataDxfId="8"/>
  </tableColumns>
  <tableStyleInfo name="TableStyleLight9"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D80C5E9C-764E-CC48-8A22-B5540DC913D3}" name="confidence_95_multiplier122022242830" displayName="confidence_95_multiplier122022242830" ref="J16:K29" totalsRowShown="0">
  <autoFilter ref="J16:K29" xr:uid="{F3F45B90-DB81-44FE-A308-205A63E21C5A}"/>
  <tableColumns count="2">
    <tableColumn id="1" xr3:uid="{4E6F8D19-961C-964C-9765-F7C7C4DEE1BB}" name="n"/>
    <tableColumn id="2" xr3:uid="{FA024512-2B88-8A47-A53D-BF2F15410D4C}" name="t"/>
  </tableColumns>
  <tableStyleInfo name="TableStyleLight9"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6FEF9FBD-E993-654E-BFC4-B0EAABA3E2EE}" name="porosity_readings1119" displayName="porosity_readings1119" ref="G6:H31" totalsRowShown="0">
  <autoFilter ref="G6:H31" xr:uid="{39F5B725-3658-4370-AD84-8EF1D7498750}"/>
  <sortState xmlns:xlrd2="http://schemas.microsoft.com/office/spreadsheetml/2017/richdata2" ref="G7:H56">
    <sortCondition ref="H6:H56"/>
  </sortState>
  <tableColumns count="2">
    <tableColumn id="1" xr3:uid="{48ED1AB8-75A4-CB49-839F-DBCF4034EC5A}" name="i"/>
    <tableColumn id="2" xr3:uid="{F48CACE1-A7F8-3241-BA28-0C9354EA54C9}" name="x_i" dataDxfId="7"/>
  </tableColumns>
  <tableStyleInfo name="TableStyleLight9"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957241BC-FA6C-2E4C-BA55-34E9E2D80871}" name="confidence_95_multiplier1220" displayName="confidence_95_multiplier1220" ref="J16:K29" totalsRowShown="0">
  <autoFilter ref="J16:K29" xr:uid="{F3F45B90-DB81-44FE-A308-205A63E21C5A}"/>
  <tableColumns count="2">
    <tableColumn id="1" xr3:uid="{1FCF8F6D-E74B-E240-B2E8-A55220198844}" name="n"/>
    <tableColumn id="2" xr3:uid="{A62E21F2-8CCC-614C-997D-4D498FBD6198}" name="t"/>
  </tableColumns>
  <tableStyleInfo name="TableStyleLight9"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416A9871-C0E8-E643-A52E-2B1E4A448B7C}" name="porosity_readings11" displayName="porosity_readings11" ref="G6:H46" totalsRowShown="0">
  <autoFilter ref="G6:H46" xr:uid="{39F5B725-3658-4370-AD84-8EF1D7498750}"/>
  <sortState xmlns:xlrd2="http://schemas.microsoft.com/office/spreadsheetml/2017/richdata2" ref="G7:H56">
    <sortCondition ref="H6:H56"/>
  </sortState>
  <tableColumns count="2">
    <tableColumn id="1" xr3:uid="{3EE51A5A-2138-9148-9E9F-1A7876D69F24}" name="i"/>
    <tableColumn id="2" xr3:uid="{98797B39-2D65-E241-87B1-B25C65546EDF}" name="x_i" dataDxfId="6"/>
  </tableColumns>
  <tableStyleInfo name="TableStyleLight9"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B68FC9E4-D3C8-1C48-9BBC-996890D5505A}" name="confidence_95_multiplier12" displayName="confidence_95_multiplier12" ref="J16:K29" totalsRowShown="0">
  <autoFilter ref="J16:K29" xr:uid="{F3F45B90-DB81-44FE-A308-205A63E21C5A}"/>
  <tableColumns count="2">
    <tableColumn id="1" xr3:uid="{65A670C4-EDF6-2645-A9E6-D8A0538C7489}" name="n"/>
    <tableColumn id="2" xr3:uid="{99719A41-7DB1-8443-8AD7-0ADBFC9594CE}" name="t"/>
  </tableColumns>
  <tableStyleInfo name="TableStyleLight9"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9F5B725-3658-4370-AD84-8EF1D7498750}" name="porosity_readings" displayName="porosity_readings" ref="G6:H31" totalsRowShown="0">
  <autoFilter ref="G6:H31" xr:uid="{39F5B725-3658-4370-AD84-8EF1D7498750}"/>
  <sortState xmlns:xlrd2="http://schemas.microsoft.com/office/spreadsheetml/2017/richdata2" ref="G7:H31">
    <sortCondition ref="H6:H31"/>
  </sortState>
  <tableColumns count="2">
    <tableColumn id="1" xr3:uid="{E7C0960C-2E20-4ABF-A5FC-C274B4EF19F7}" name="i"/>
    <tableColumn id="2" xr3:uid="{E5AEE5F3-BDA1-4E6F-B731-B9F51FC52B78}" name="x_i" dataDxfId="5"/>
  </tableColumns>
  <tableStyleInfo name="TableStyleLight9"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3F45B90-DB81-44FE-A308-205A63E21C5A}" name="confidence_95_multiplier" displayName="confidence_95_multiplier" ref="J16:K29" totalsRowShown="0">
  <autoFilter ref="J16:K29" xr:uid="{F3F45B90-DB81-44FE-A308-205A63E21C5A}"/>
  <tableColumns count="2">
    <tableColumn id="1" xr3:uid="{9AD0EF5D-E39A-485F-B3F3-B6C1F471FFE6}" name="n"/>
    <tableColumn id="2" xr3:uid="{FB089525-1C0A-49F3-90DD-73F49C072F4C}" name="t"/>
  </tableColumns>
  <tableStyleInfo name="TableStyleLight9"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8D2B51A0-4E46-484F-B18E-8107A68E8087}" name="porosity_readings1117" displayName="porosity_readings1117" ref="G6:H31" totalsRowShown="0">
  <autoFilter ref="G6:H31" xr:uid="{39F5B725-3658-4370-AD84-8EF1D7498750}"/>
  <sortState xmlns:xlrd2="http://schemas.microsoft.com/office/spreadsheetml/2017/richdata2" ref="G7:H56">
    <sortCondition ref="H6:H56"/>
  </sortState>
  <tableColumns count="2">
    <tableColumn id="1" xr3:uid="{7E2BC5DA-C13C-194B-848B-3092DB520BE4}" name="i"/>
    <tableColumn id="2" xr3:uid="{CC606339-8406-AF42-83FE-545723248FE5}" name="x_i" dataDxfId="4"/>
  </tableColumns>
  <tableStyleInfo name="TableStyleLight9"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682537AB-A118-C54E-A8F9-18497B2710ED}" name="confidence_95_multiplier1218" displayName="confidence_95_multiplier1218" ref="J16:K29" totalsRowShown="0">
  <autoFilter ref="J16:K29" xr:uid="{F3F45B90-DB81-44FE-A308-205A63E21C5A}"/>
  <tableColumns count="2">
    <tableColumn id="1" xr3:uid="{FE05FB5E-1E10-CA46-8A19-43613163527A}" name="n"/>
    <tableColumn id="2" xr3:uid="{9EA5E827-B893-2B44-A0DA-81B69F4CC534}" name="t"/>
  </tableColumns>
  <tableStyleInfo name="TableStyleLight9"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AACCBDE3-7DFF-A347-9E1D-92321477B5D0}" name="porosity_readings111315" displayName="porosity_readings111315" ref="G6:H31" totalsRowShown="0">
  <autoFilter ref="G6:H31" xr:uid="{39F5B725-3658-4370-AD84-8EF1D7498750}"/>
  <tableColumns count="2">
    <tableColumn id="1" xr3:uid="{55B249F5-2700-2F40-9C8A-DB768220A276}" name="i"/>
    <tableColumn id="2" xr3:uid="{CEFA94D6-5068-BC47-B4D9-2995163772B5}" name="x_i" dataDxfId="3"/>
  </tableColumns>
  <tableStyleInfo name="TableStyleLight9"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610A1C5B-EBB9-B342-AC11-F6BDFDB25713}" name="confidence_95_multiplier121416" displayName="confidence_95_multiplier121416" ref="J16:K29" totalsRowShown="0">
  <autoFilter ref="J16:K29" xr:uid="{F3F45B90-DB81-44FE-A308-205A63E21C5A}"/>
  <tableColumns count="2">
    <tableColumn id="1" xr3:uid="{F5DBC408-8F5A-8B45-915E-80A0660DAC4E}" name="n"/>
    <tableColumn id="2" xr3:uid="{46FD945A-E9CF-3D45-8594-DBB2FC55D830}" name="t"/>
  </tableColumns>
  <tableStyleInfo name="TableStyleLight9"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B6596999-C22A-8141-8804-B169553AB63C}" name="porosity_readings11131549" displayName="porosity_readings11131549" ref="G6:H31" totalsRowShown="0">
  <autoFilter ref="G6:H31" xr:uid="{39F5B725-3658-4370-AD84-8EF1D7498750}"/>
  <tableColumns count="2">
    <tableColumn id="1" xr3:uid="{BE6743EE-00CD-214A-AB85-64FA93A39052}" name="i"/>
    <tableColumn id="2" xr3:uid="{36501C79-D05F-CB46-AEFA-43B43763F67E}" name="x_i" dataDxfId="2"/>
  </tableColumns>
  <tableStyleInfo name="TableStyleLight9"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940F64E9-09EA-8A4E-92B1-8C7F917F5949}" name="confidence_95_multiplier12141650" displayName="confidence_95_multiplier12141650" ref="J16:K29" totalsRowShown="0">
  <autoFilter ref="J16:K29" xr:uid="{F3F45B90-DB81-44FE-A308-205A63E21C5A}"/>
  <tableColumns count="2">
    <tableColumn id="1" xr3:uid="{5B9FAEF8-E4F2-7C46-AA4A-F1BA6CF3F1B0}" name="n"/>
    <tableColumn id="2" xr3:uid="{F5139557-C07B-9B40-BF07-7E0066DA72EF}" name="t"/>
  </tableColumns>
  <tableStyleInfo name="TableStyleLight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table" Target="../tables/table2.xml"/></Relationships>
</file>

<file path=xl/worksheets/_rels/sheet3.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table" Target="../tables/table4.xml"/></Relationships>
</file>

<file path=xl/worksheets/_rels/sheet4.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table" Target="../tables/table6.xml"/></Relationships>
</file>

<file path=xl/worksheets/_rels/sheet5.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table" Target="../tables/table8.xml"/></Relationships>
</file>

<file path=xl/worksheets/_rels/sheet6.xml.rels><?xml version="1.0" encoding="UTF-8" standalone="yes"?>
<Relationships xmlns="http://schemas.openxmlformats.org/package/2006/relationships"><Relationship Id="rId3" Type="http://schemas.openxmlformats.org/officeDocument/2006/relationships/table" Target="../tables/table9.x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table" Target="../tables/table10.xml"/></Relationships>
</file>

<file path=xl/worksheets/_rels/sheet7.xml.rels><?xml version="1.0" encoding="UTF-8" standalone="yes"?>
<Relationships xmlns="http://schemas.openxmlformats.org/package/2006/relationships"><Relationship Id="rId3" Type="http://schemas.openxmlformats.org/officeDocument/2006/relationships/table" Target="../tables/table11.x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table" Target="../tables/table12.xml"/></Relationships>
</file>

<file path=xl/worksheets/_rels/sheet8.xml.rels><?xml version="1.0" encoding="UTF-8" standalone="yes"?>
<Relationships xmlns="http://schemas.openxmlformats.org/package/2006/relationships"><Relationship Id="rId3" Type="http://schemas.openxmlformats.org/officeDocument/2006/relationships/table" Target="../tables/table13.xml"/><Relationship Id="rId2" Type="http://schemas.openxmlformats.org/officeDocument/2006/relationships/drawing" Target="../drawings/drawing8.xml"/><Relationship Id="rId1" Type="http://schemas.openxmlformats.org/officeDocument/2006/relationships/printerSettings" Target="../printerSettings/printerSettings8.bin"/><Relationship Id="rId4" Type="http://schemas.openxmlformats.org/officeDocument/2006/relationships/table" Target="../tables/table14.xml"/></Relationships>
</file>

<file path=xl/worksheets/_rels/sheet9.xml.rels><?xml version="1.0" encoding="UTF-8" standalone="yes"?>
<Relationships xmlns="http://schemas.openxmlformats.org/package/2006/relationships"><Relationship Id="rId3" Type="http://schemas.openxmlformats.org/officeDocument/2006/relationships/table" Target="../tables/table15.xml"/><Relationship Id="rId2" Type="http://schemas.openxmlformats.org/officeDocument/2006/relationships/drawing" Target="../drawings/drawing9.xml"/><Relationship Id="rId1" Type="http://schemas.openxmlformats.org/officeDocument/2006/relationships/printerSettings" Target="../printerSettings/printerSettings9.bin"/><Relationship Id="rId4" Type="http://schemas.openxmlformats.org/officeDocument/2006/relationships/table" Target="../tables/table16.xml"/></Relationships>
</file>

<file path=xl/worksheets/_rels/sheet10.xml.rels><?xml version="1.0" encoding="UTF-8" standalone="yes"?>
<Relationships xmlns="http://schemas.openxmlformats.org/package/2006/relationships"><Relationship Id="rId3" Type="http://schemas.openxmlformats.org/officeDocument/2006/relationships/table" Target="../tables/table17.xml"/><Relationship Id="rId2" Type="http://schemas.openxmlformats.org/officeDocument/2006/relationships/drawing" Target="../drawings/drawing10.xml"/><Relationship Id="rId1" Type="http://schemas.openxmlformats.org/officeDocument/2006/relationships/printerSettings" Target="../printerSettings/printerSettings10.bin"/><Relationship Id="rId4" Type="http://schemas.openxmlformats.org/officeDocument/2006/relationships/table" Target="../tables/table18.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19.xml"/><Relationship Id="rId2" Type="http://schemas.openxmlformats.org/officeDocument/2006/relationships/drawing" Target="../drawings/drawing11.xml"/><Relationship Id="rId1" Type="http://schemas.openxmlformats.org/officeDocument/2006/relationships/printerSettings" Target="../printerSettings/printerSettings11.bin"/><Relationship Id="rId4" Type="http://schemas.openxmlformats.org/officeDocument/2006/relationships/table" Target="../tables/table20.xml"/></Relationships>
</file>

<file path=xl/worksheets/_rels/sheet12.xml.rels><?xml version="1.0" encoding="UTF-8" standalone="yes"?>
<Relationships xmlns="http://schemas.openxmlformats.org/package/2006/relationships"><Relationship Id="rId3" Type="http://schemas.openxmlformats.org/officeDocument/2006/relationships/table" Target="../tables/table21.xml"/><Relationship Id="rId2" Type="http://schemas.openxmlformats.org/officeDocument/2006/relationships/drawing" Target="../drawings/drawing12.xml"/><Relationship Id="rId1" Type="http://schemas.openxmlformats.org/officeDocument/2006/relationships/printerSettings" Target="../printerSettings/printerSettings12.bin"/><Relationship Id="rId4" Type="http://schemas.openxmlformats.org/officeDocument/2006/relationships/table" Target="../tables/table22.xml"/></Relationships>
</file>

<file path=xl/worksheets/_rels/sheet13.xml.rels><?xml version="1.0" encoding="UTF-8" standalone="yes"?>
<Relationships xmlns="http://schemas.openxmlformats.org/package/2006/relationships"><Relationship Id="rId3" Type="http://schemas.openxmlformats.org/officeDocument/2006/relationships/table" Target="../tables/table23.xml"/><Relationship Id="rId2" Type="http://schemas.openxmlformats.org/officeDocument/2006/relationships/drawing" Target="../drawings/drawing13.xml"/><Relationship Id="rId1" Type="http://schemas.openxmlformats.org/officeDocument/2006/relationships/printerSettings" Target="../printerSettings/printerSettings13.bin"/><Relationship Id="rId4" Type="http://schemas.openxmlformats.org/officeDocument/2006/relationships/table" Target="../tables/table24.xml"/></Relationships>
</file>

<file path=xl/worksheets/_rels/sheet14.xml.rels><?xml version="1.0" encoding="UTF-8" standalone="yes"?>
<Relationships xmlns="http://schemas.openxmlformats.org/package/2006/relationships"><Relationship Id="rId3" Type="http://schemas.openxmlformats.org/officeDocument/2006/relationships/table" Target="../tables/table25.xml"/><Relationship Id="rId2" Type="http://schemas.openxmlformats.org/officeDocument/2006/relationships/drawing" Target="../drawings/drawing14.xml"/><Relationship Id="rId1" Type="http://schemas.openxmlformats.org/officeDocument/2006/relationships/printerSettings" Target="../printerSettings/printerSettings14.bin"/><Relationship Id="rId4" Type="http://schemas.openxmlformats.org/officeDocument/2006/relationships/table" Target="../tables/table26.xml"/></Relationships>
</file>

<file path=xl/worksheets/_rels/sheet15.xml.rels><?xml version="1.0" encoding="UTF-8" standalone="yes"?>
<Relationships xmlns="http://schemas.openxmlformats.org/package/2006/relationships"><Relationship Id="rId3" Type="http://schemas.openxmlformats.org/officeDocument/2006/relationships/table" Target="../tables/table27.xml"/><Relationship Id="rId2" Type="http://schemas.openxmlformats.org/officeDocument/2006/relationships/drawing" Target="../drawings/drawing15.xml"/><Relationship Id="rId1" Type="http://schemas.openxmlformats.org/officeDocument/2006/relationships/printerSettings" Target="../printerSettings/printerSettings15.bin"/><Relationship Id="rId4" Type="http://schemas.openxmlformats.org/officeDocument/2006/relationships/table" Target="../tables/table28.xml"/></Relationships>
</file>

<file path=xl/worksheets/_rels/sheet16.xml.rels><?xml version="1.0" encoding="UTF-8" standalone="yes"?>
<Relationships xmlns="http://schemas.openxmlformats.org/package/2006/relationships"><Relationship Id="rId3" Type="http://schemas.openxmlformats.org/officeDocument/2006/relationships/table" Target="../tables/table29.xml"/><Relationship Id="rId2" Type="http://schemas.openxmlformats.org/officeDocument/2006/relationships/drawing" Target="../drawings/drawing16.xml"/><Relationship Id="rId1" Type="http://schemas.openxmlformats.org/officeDocument/2006/relationships/printerSettings" Target="../printerSettings/printerSettings16.bin"/><Relationship Id="rId4" Type="http://schemas.openxmlformats.org/officeDocument/2006/relationships/table" Target="../tables/table30.xml"/></Relationships>
</file>

<file path=xl/worksheets/_rels/sheet17.xml.rels><?xml version="1.0" encoding="UTF-8" standalone="yes"?>
<Relationships xmlns="http://schemas.openxmlformats.org/package/2006/relationships"><Relationship Id="rId3" Type="http://schemas.openxmlformats.org/officeDocument/2006/relationships/table" Target="../tables/table31.xml"/><Relationship Id="rId2" Type="http://schemas.openxmlformats.org/officeDocument/2006/relationships/drawing" Target="../drawings/drawing17.xml"/><Relationship Id="rId1" Type="http://schemas.openxmlformats.org/officeDocument/2006/relationships/printerSettings" Target="../printerSettings/printerSettings17.bin"/><Relationship Id="rId4" Type="http://schemas.openxmlformats.org/officeDocument/2006/relationships/table" Target="../tables/table32.xml"/></Relationships>
</file>

<file path=xl/worksheets/_rels/sheet18.xml.rels><?xml version="1.0" encoding="UTF-8" standalone="yes"?>
<Relationships xmlns="http://schemas.openxmlformats.org/package/2006/relationships"><Relationship Id="rId3" Type="http://schemas.openxmlformats.org/officeDocument/2006/relationships/table" Target="../tables/table33.xml"/><Relationship Id="rId2" Type="http://schemas.openxmlformats.org/officeDocument/2006/relationships/drawing" Target="../drawings/drawing18.xml"/><Relationship Id="rId1" Type="http://schemas.openxmlformats.org/officeDocument/2006/relationships/printerSettings" Target="../printerSettings/printerSettings18.bin"/><Relationship Id="rId4" Type="http://schemas.openxmlformats.org/officeDocument/2006/relationships/table" Target="../tables/table34.xml"/></Relationships>
</file>

<file path=xl/worksheets/_rels/sheet19.xml.rels><?xml version="1.0" encoding="UTF-8" standalone="yes"?>
<Relationships xmlns="http://schemas.openxmlformats.org/package/2006/relationships"><Relationship Id="rId3" Type="http://schemas.openxmlformats.org/officeDocument/2006/relationships/table" Target="../tables/table35.xml"/><Relationship Id="rId2" Type="http://schemas.openxmlformats.org/officeDocument/2006/relationships/drawing" Target="../drawings/drawing19.xml"/><Relationship Id="rId1" Type="http://schemas.openxmlformats.org/officeDocument/2006/relationships/printerSettings" Target="../printerSettings/printerSettings19.bin"/><Relationship Id="rId4" Type="http://schemas.openxmlformats.org/officeDocument/2006/relationships/table" Target="../tables/table36.xml"/></Relationships>
</file>

<file path=xl/worksheets/_rels/sheet20.xml.rels><?xml version="1.0" encoding="UTF-8" standalone="yes"?>
<Relationships xmlns="http://schemas.openxmlformats.org/package/2006/relationships"><Relationship Id="rId3" Type="http://schemas.openxmlformats.org/officeDocument/2006/relationships/table" Target="../tables/table37.xml"/><Relationship Id="rId2" Type="http://schemas.openxmlformats.org/officeDocument/2006/relationships/drawing" Target="../drawings/drawing20.xml"/><Relationship Id="rId1" Type="http://schemas.openxmlformats.org/officeDocument/2006/relationships/printerSettings" Target="../printerSettings/printerSettings20.bin"/><Relationship Id="rId4" Type="http://schemas.openxmlformats.org/officeDocument/2006/relationships/table" Target="../tables/table3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77AA33-9FAD-47E2-8547-B59E3A941F7F}">
  <sheetPr codeName="Sheet9">
    <tabColor theme="4" tint="0.39997558519241921"/>
  </sheetPr>
  <dimension ref="A2:B44"/>
  <sheetViews>
    <sheetView topLeftCell="A23" workbookViewId="0">
      <selection activeCell="F36" sqref="F36"/>
    </sheetView>
  </sheetViews>
  <sheetFormatPr defaultColWidth="8.85546875" defaultRowHeight="15" x14ac:dyDescent="0.25"/>
  <cols>
    <col min="1" max="1" width="3.140625" bestFit="1" customWidth="1"/>
    <col min="2" max="2" width="67.28515625" style="1" customWidth="1"/>
    <col min="3" max="3" width="4.28515625" customWidth="1"/>
  </cols>
  <sheetData>
    <row r="2" spans="1:2" ht="20.25" thickBot="1" x14ac:dyDescent="0.35">
      <c r="B2" s="15" t="s">
        <v>48</v>
      </c>
    </row>
    <row r="3" spans="1:2" ht="15.75" thickTop="1" x14ac:dyDescent="0.25"/>
    <row r="4" spans="1:2" ht="15.75" x14ac:dyDescent="0.25">
      <c r="A4">
        <v>1</v>
      </c>
      <c r="B4" s="16" t="s">
        <v>29</v>
      </c>
    </row>
    <row r="5" spans="1:2" ht="15.75" x14ac:dyDescent="0.25">
      <c r="A5">
        <v>2</v>
      </c>
      <c r="B5" s="16" t="s">
        <v>30</v>
      </c>
    </row>
    <row r="6" spans="1:2" ht="15.75" x14ac:dyDescent="0.25">
      <c r="B6" s="16"/>
    </row>
    <row r="7" spans="1:2" ht="18" thickBot="1" x14ac:dyDescent="0.3">
      <c r="B7" s="17" t="s">
        <v>45</v>
      </c>
    </row>
    <row r="8" spans="1:2" ht="16.5" thickTop="1" x14ac:dyDescent="0.25">
      <c r="A8">
        <v>3</v>
      </c>
      <c r="B8" s="16" t="s">
        <v>31</v>
      </c>
    </row>
    <row r="9" spans="1:2" ht="15.75" x14ac:dyDescent="0.25">
      <c r="A9">
        <v>4</v>
      </c>
      <c r="B9" s="16" t="s">
        <v>32</v>
      </c>
    </row>
    <row r="10" spans="1:2" ht="63" x14ac:dyDescent="0.25">
      <c r="A10">
        <v>5</v>
      </c>
      <c r="B10" s="16" t="s">
        <v>33</v>
      </c>
    </row>
    <row r="11" spans="1:2" ht="47.25" x14ac:dyDescent="0.25">
      <c r="A11">
        <v>6</v>
      </c>
      <c r="B11" s="16" t="s">
        <v>34</v>
      </c>
    </row>
    <row r="12" spans="1:2" ht="15.75" x14ac:dyDescent="0.25">
      <c r="B12" s="16"/>
    </row>
    <row r="13" spans="1:2" ht="18" thickBot="1" x14ac:dyDescent="0.3">
      <c r="B13" s="17" t="s">
        <v>56</v>
      </c>
    </row>
    <row r="14" spans="1:2" ht="32.25" thickTop="1" x14ac:dyDescent="0.25">
      <c r="A14">
        <v>7</v>
      </c>
      <c r="B14" s="16" t="s">
        <v>35</v>
      </c>
    </row>
    <row r="15" spans="1:2" ht="31.5" x14ac:dyDescent="0.25">
      <c r="A15">
        <v>8</v>
      </c>
      <c r="B15" s="16" t="s">
        <v>36</v>
      </c>
    </row>
    <row r="16" spans="1:2" ht="47.25" x14ac:dyDescent="0.25">
      <c r="A16">
        <v>9</v>
      </c>
      <c r="B16" s="16" t="s">
        <v>37</v>
      </c>
    </row>
    <row r="17" spans="1:2" ht="47.25" x14ac:dyDescent="0.25">
      <c r="A17">
        <v>10</v>
      </c>
      <c r="B17" s="16" t="s">
        <v>46</v>
      </c>
    </row>
    <row r="18" spans="1:2" ht="31.5" x14ac:dyDescent="0.25">
      <c r="A18">
        <v>11</v>
      </c>
      <c r="B18" s="16" t="s">
        <v>57</v>
      </c>
    </row>
    <row r="19" spans="1:2" ht="15.75" x14ac:dyDescent="0.25">
      <c r="B19" s="16"/>
    </row>
    <row r="20" spans="1:2" ht="18" thickBot="1" x14ac:dyDescent="0.3">
      <c r="B20" s="17" t="s">
        <v>47</v>
      </c>
    </row>
    <row r="21" spans="1:2" ht="16.5" thickTop="1" x14ac:dyDescent="0.25">
      <c r="A21">
        <v>12</v>
      </c>
      <c r="B21" s="16" t="s">
        <v>49</v>
      </c>
    </row>
    <row r="22" spans="1:2" ht="31.5" x14ac:dyDescent="0.25">
      <c r="A22">
        <v>13</v>
      </c>
      <c r="B22" s="16" t="s">
        <v>50</v>
      </c>
    </row>
    <row r="23" spans="1:2" ht="30" x14ac:dyDescent="0.25">
      <c r="A23">
        <v>14</v>
      </c>
      <c r="B23" s="1" t="s">
        <v>0</v>
      </c>
    </row>
    <row r="24" spans="1:2" ht="30" x14ac:dyDescent="0.25">
      <c r="A24">
        <v>15</v>
      </c>
      <c r="B24" s="1" t="s">
        <v>1</v>
      </c>
    </row>
    <row r="25" spans="1:2" ht="15.75" x14ac:dyDescent="0.25">
      <c r="B25" s="16"/>
    </row>
    <row r="26" spans="1:2" ht="18" thickBot="1" x14ac:dyDescent="0.3">
      <c r="B26" s="17" t="s">
        <v>51</v>
      </c>
    </row>
    <row r="27" spans="1:2" ht="16.5" thickTop="1" x14ac:dyDescent="0.25">
      <c r="A27">
        <v>16</v>
      </c>
      <c r="B27" s="16" t="s">
        <v>38</v>
      </c>
    </row>
    <row r="28" spans="1:2" ht="15.75" x14ac:dyDescent="0.25">
      <c r="A28">
        <v>17</v>
      </c>
      <c r="B28" s="16" t="s">
        <v>39</v>
      </c>
    </row>
    <row r="29" spans="1:2" ht="78.75" x14ac:dyDescent="0.25">
      <c r="A29">
        <v>18</v>
      </c>
      <c r="B29" s="16" t="s">
        <v>40</v>
      </c>
    </row>
    <row r="30" spans="1:2" ht="15.75" x14ac:dyDescent="0.25">
      <c r="A30">
        <v>19</v>
      </c>
      <c r="B30" s="16" t="s">
        <v>41</v>
      </c>
    </row>
    <row r="31" spans="1:2" ht="110.25" x14ac:dyDescent="0.25">
      <c r="A31">
        <v>20</v>
      </c>
      <c r="B31" s="16" t="s">
        <v>42</v>
      </c>
    </row>
    <row r="32" spans="1:2" ht="47.25" x14ac:dyDescent="0.25">
      <c r="A32">
        <v>21</v>
      </c>
      <c r="B32" s="16" t="s">
        <v>43</v>
      </c>
    </row>
    <row r="33" spans="1:2" ht="31.5" x14ac:dyDescent="0.25">
      <c r="A33">
        <v>22</v>
      </c>
      <c r="B33" s="16" t="s">
        <v>44</v>
      </c>
    </row>
    <row r="35" spans="1:2" ht="18" thickBot="1" x14ac:dyDescent="0.3">
      <c r="B35" s="17" t="s">
        <v>52</v>
      </c>
    </row>
    <row r="36" spans="1:2" ht="120.75" thickTop="1" x14ac:dyDescent="0.25">
      <c r="B36" s="1" t="s">
        <v>2</v>
      </c>
    </row>
    <row r="37" spans="1:2" x14ac:dyDescent="0.25">
      <c r="A37">
        <v>23</v>
      </c>
      <c r="B37" s="1" t="s">
        <v>6</v>
      </c>
    </row>
    <row r="38" spans="1:2" x14ac:dyDescent="0.25">
      <c r="A38">
        <v>24</v>
      </c>
      <c r="B38" s="1" t="s">
        <v>7</v>
      </c>
    </row>
    <row r="39" spans="1:2" x14ac:dyDescent="0.25">
      <c r="A39">
        <v>25</v>
      </c>
      <c r="B39" s="1" t="s">
        <v>8</v>
      </c>
    </row>
    <row r="40" spans="1:2" x14ac:dyDescent="0.25">
      <c r="A40">
        <v>26</v>
      </c>
      <c r="B40" s="1" t="s">
        <v>9</v>
      </c>
    </row>
    <row r="41" spans="1:2" ht="30" x14ac:dyDescent="0.25">
      <c r="A41">
        <v>27</v>
      </c>
      <c r="B41" s="1" t="s">
        <v>10</v>
      </c>
    </row>
    <row r="42" spans="1:2" ht="15.75" x14ac:dyDescent="0.25">
      <c r="B42" s="16"/>
    </row>
    <row r="43" spans="1:2" ht="15.75" x14ac:dyDescent="0.25">
      <c r="B43" s="16"/>
    </row>
    <row r="44" spans="1:2" ht="15.75" x14ac:dyDescent="0.25">
      <c r="B44" s="16"/>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2F03ED-9075-A44D-AD62-CDF3EFE5A95D}">
  <sheetPr codeName="Sheet16">
    <tabColor theme="7" tint="0.39997558519241921"/>
  </sheetPr>
  <dimension ref="B1:K66"/>
  <sheetViews>
    <sheetView zoomScaleNormal="100" workbookViewId="0">
      <selection activeCell="F21" sqref="F21"/>
    </sheetView>
  </sheetViews>
  <sheetFormatPr defaultColWidth="9.140625" defaultRowHeight="15" x14ac:dyDescent="0.25"/>
  <cols>
    <col min="1" max="1" width="3" style="1" customWidth="1"/>
    <col min="2" max="2" width="46" style="1" customWidth="1"/>
    <col min="3" max="3" width="27.140625" style="1" customWidth="1"/>
    <col min="4" max="5" width="3" style="1" customWidth="1"/>
    <col min="6" max="6" width="9.140625" style="1"/>
    <col min="7" max="7" width="36.28515625" style="1" bestFit="1" customWidth="1"/>
    <col min="8" max="8" width="14.85546875" style="1" bestFit="1" customWidth="1"/>
    <col min="9" max="9" width="9.140625" style="1"/>
    <col min="10" max="10" width="23" style="1" customWidth="1"/>
    <col min="11" max="16384" width="9.140625" style="1"/>
  </cols>
  <sheetData>
    <row r="1" spans="2:11" ht="23.25" x14ac:dyDescent="0.25">
      <c r="B1" s="18" t="s">
        <v>28</v>
      </c>
      <c r="C1" s="18"/>
    </row>
    <row r="2" spans="2:11" ht="20.25" thickBot="1" x14ac:dyDescent="0.35">
      <c r="B2" s="8" t="s">
        <v>20</v>
      </c>
    </row>
    <row r="3" spans="2:11" ht="60.75" thickTop="1" x14ac:dyDescent="0.25">
      <c r="B3" s="5" t="s">
        <v>22</v>
      </c>
    </row>
    <row r="4" spans="2:11" x14ac:dyDescent="0.25">
      <c r="B4" s="5"/>
    </row>
    <row r="5" spans="2:11" x14ac:dyDescent="0.25">
      <c r="B5" t="s">
        <v>16</v>
      </c>
      <c r="C5" s="12" t="s">
        <v>74</v>
      </c>
      <c r="G5" t="s">
        <v>14</v>
      </c>
      <c r="H5" t="s">
        <v>15</v>
      </c>
    </row>
    <row r="6" spans="2:11" x14ac:dyDescent="0.25">
      <c r="B6" t="s">
        <v>17</v>
      </c>
      <c r="C6" s="2" t="s">
        <v>21</v>
      </c>
      <c r="G6" t="s">
        <v>11</v>
      </c>
      <c r="H6" t="s">
        <v>13</v>
      </c>
      <c r="J6" t="s">
        <v>58</v>
      </c>
      <c r="K6">
        <f>MAX(G7:G26)</f>
        <v>20</v>
      </c>
    </row>
    <row r="7" spans="2:11" x14ac:dyDescent="0.25">
      <c r="B7" t="s">
        <v>18</v>
      </c>
      <c r="C7" s="6">
        <f ca="1">TODAY()</f>
        <v>45321</v>
      </c>
      <c r="G7">
        <v>1</v>
      </c>
      <c r="H7" s="1">
        <v>2.5169999999999999</v>
      </c>
      <c r="J7" t="s">
        <v>59</v>
      </c>
      <c r="K7">
        <f>VLOOKUP(K6,confidence_95_multiplier1220222428303234[#All],2,FALSE)</f>
        <v>2.093</v>
      </c>
    </row>
    <row r="8" spans="2:11" x14ac:dyDescent="0.25">
      <c r="G8">
        <v>2</v>
      </c>
      <c r="H8" s="1">
        <v>1.4950000000000001</v>
      </c>
      <c r="J8" t="s">
        <v>60</v>
      </c>
      <c r="K8">
        <f>AVERAGE(porosity_readings1119212327293133[x_i])</f>
        <v>1.5685000000000004</v>
      </c>
    </row>
    <row r="9" spans="2:11" x14ac:dyDescent="0.25">
      <c r="B9" t="s">
        <v>55</v>
      </c>
      <c r="C9" s="3">
        <v>1000</v>
      </c>
      <c r="G9">
        <v>3</v>
      </c>
      <c r="H9" s="1">
        <v>1.381</v>
      </c>
      <c r="J9" t="s">
        <v>61</v>
      </c>
      <c r="K9">
        <f>_xlfn.STDEV.S(porosity_readings1119212327293133[x_i])</f>
        <v>0.54136985120107328</v>
      </c>
    </row>
    <row r="10" spans="2:11" x14ac:dyDescent="0.25">
      <c r="B10" t="s">
        <v>26</v>
      </c>
      <c r="C10" s="11">
        <f>AsSprayed_BottomLayer!K8</f>
        <v>1.5685000000000004</v>
      </c>
      <c r="G10">
        <v>4</v>
      </c>
      <c r="H10" s="1">
        <v>1.1970000000000001</v>
      </c>
      <c r="J10" t="s">
        <v>62</v>
      </c>
      <c r="K10" s="7">
        <f>K9*K7/(SQRT(K6))</f>
        <v>0.25336597768167646</v>
      </c>
    </row>
    <row r="11" spans="2:11" x14ac:dyDescent="0.25">
      <c r="B11" t="s">
        <v>25</v>
      </c>
      <c r="C11" s="9">
        <f>AsSprayed_BottomLayer!K12</f>
        <v>0.872</v>
      </c>
      <c r="G11">
        <v>5</v>
      </c>
      <c r="H11" s="1">
        <v>2.6349999999999998</v>
      </c>
      <c r="J11" t="s">
        <v>63</v>
      </c>
      <c r="K11" s="7">
        <f>K10/K8</f>
        <v>0.16153393540432029</v>
      </c>
    </row>
    <row r="12" spans="2:11" x14ac:dyDescent="0.25">
      <c r="B12" t="s">
        <v>24</v>
      </c>
      <c r="C12" s="9">
        <f>AsSprayed_BottomLayer!K13</f>
        <v>2.6349999999999998</v>
      </c>
      <c r="G12">
        <v>6</v>
      </c>
      <c r="H12" s="1">
        <v>1.984</v>
      </c>
      <c r="J12" t="s">
        <v>64</v>
      </c>
      <c r="K12">
        <f>MIN(porosity_readings1119212327293133[x_i])</f>
        <v>0.872</v>
      </c>
    </row>
    <row r="13" spans="2:11" x14ac:dyDescent="0.25">
      <c r="B13" t="s">
        <v>12</v>
      </c>
      <c r="C13" s="11">
        <f>AsSprayed_BottomLayer!K9</f>
        <v>0.54136985120107328</v>
      </c>
      <c r="G13">
        <v>7</v>
      </c>
      <c r="H13" s="1">
        <v>1.99</v>
      </c>
      <c r="J13" t="s">
        <v>65</v>
      </c>
      <c r="K13">
        <f>MAX(porosity_readings1119212327293133[x_i])</f>
        <v>2.6349999999999998</v>
      </c>
    </row>
    <row r="14" spans="2:11" x14ac:dyDescent="0.25">
      <c r="B14" t="s">
        <v>19</v>
      </c>
      <c r="C14" s="10">
        <f>AsSprayed_BottomLayer!K10</f>
        <v>0.25336597768167646</v>
      </c>
      <c r="G14">
        <v>8</v>
      </c>
      <c r="H14" s="1">
        <v>1.8560000000000001</v>
      </c>
    </row>
    <row r="15" spans="2:11" x14ac:dyDescent="0.25">
      <c r="B15" t="s">
        <v>27</v>
      </c>
      <c r="C15" s="14">
        <f>AsSprayed_BottomLayer!K11</f>
        <v>0.16153393540432029</v>
      </c>
      <c r="G15">
        <v>9</v>
      </c>
      <c r="H15" s="1">
        <v>1.222</v>
      </c>
      <c r="J15" t="s">
        <v>5</v>
      </c>
      <c r="K15"/>
    </row>
    <row r="16" spans="2:11" x14ac:dyDescent="0.25">
      <c r="B16" t="s">
        <v>23</v>
      </c>
      <c r="C16" s="2">
        <f>AsSprayed_BottomLayer!K6</f>
        <v>20</v>
      </c>
      <c r="G16">
        <v>10</v>
      </c>
      <c r="H16" s="1">
        <v>1.542</v>
      </c>
      <c r="J16" t="s">
        <v>3</v>
      </c>
      <c r="K16" t="s">
        <v>4</v>
      </c>
    </row>
    <row r="17" spans="2:11" x14ac:dyDescent="0.25">
      <c r="G17">
        <v>11</v>
      </c>
      <c r="H17" s="1">
        <v>1.321</v>
      </c>
      <c r="J17">
        <v>20</v>
      </c>
      <c r="K17">
        <v>2.093</v>
      </c>
    </row>
    <row r="18" spans="2:11" x14ac:dyDescent="0.25">
      <c r="B18" s="1" t="s">
        <v>66</v>
      </c>
      <c r="C18" s="3">
        <v>0</v>
      </c>
      <c r="G18">
        <v>12</v>
      </c>
      <c r="H18" s="1">
        <v>2.2370000000000001</v>
      </c>
      <c r="J18">
        <v>21</v>
      </c>
      <c r="K18">
        <v>2.0859999999999999</v>
      </c>
    </row>
    <row r="19" spans="2:11" x14ac:dyDescent="0.25">
      <c r="B19" s="1" t="s">
        <v>53</v>
      </c>
      <c r="C19" s="2">
        <v>0</v>
      </c>
      <c r="G19">
        <v>13</v>
      </c>
      <c r="H19" s="1">
        <v>0.91300000000000003</v>
      </c>
      <c r="J19">
        <v>22</v>
      </c>
      <c r="K19">
        <v>2.08</v>
      </c>
    </row>
    <row r="20" spans="2:11" x14ac:dyDescent="0.25">
      <c r="B20" s="1" t="s">
        <v>54</v>
      </c>
      <c r="C20" s="2">
        <v>115</v>
      </c>
      <c r="G20">
        <v>14</v>
      </c>
      <c r="H20" s="1">
        <v>1.2909999999999999</v>
      </c>
      <c r="J20">
        <v>23</v>
      </c>
      <c r="K20">
        <v>2.0739999999999998</v>
      </c>
    </row>
    <row r="21" spans="2:11" x14ac:dyDescent="0.25">
      <c r="G21">
        <v>15</v>
      </c>
      <c r="H21" s="1">
        <v>2.0819999999999999</v>
      </c>
      <c r="J21">
        <v>24</v>
      </c>
      <c r="K21">
        <v>2.069</v>
      </c>
    </row>
    <row r="22" spans="2:11" x14ac:dyDescent="0.25">
      <c r="G22">
        <v>16</v>
      </c>
      <c r="H22" s="1">
        <v>0.998</v>
      </c>
      <c r="J22">
        <v>25</v>
      </c>
      <c r="K22">
        <v>2.0640000000000001</v>
      </c>
    </row>
    <row r="23" spans="2:11" x14ac:dyDescent="0.25">
      <c r="C23" s="4"/>
      <c r="G23">
        <v>17</v>
      </c>
      <c r="H23" s="1">
        <v>1.1399999999999999</v>
      </c>
      <c r="J23">
        <v>26</v>
      </c>
      <c r="K23">
        <v>2.06</v>
      </c>
    </row>
    <row r="24" spans="2:11" x14ac:dyDescent="0.25">
      <c r="G24">
        <v>18</v>
      </c>
      <c r="H24" s="1">
        <v>1.8120000000000001</v>
      </c>
      <c r="J24">
        <v>27</v>
      </c>
      <c r="K24">
        <v>2.056</v>
      </c>
    </row>
    <row r="25" spans="2:11" x14ac:dyDescent="0.25">
      <c r="G25">
        <v>19</v>
      </c>
      <c r="H25" s="1">
        <v>0.872</v>
      </c>
      <c r="J25">
        <v>28</v>
      </c>
      <c r="K25">
        <v>2.052</v>
      </c>
    </row>
    <row r="26" spans="2:11" x14ac:dyDescent="0.25">
      <c r="G26">
        <v>20</v>
      </c>
      <c r="H26" s="1">
        <v>0.88500000000000001</v>
      </c>
      <c r="J26">
        <v>29</v>
      </c>
      <c r="K26">
        <v>2.048</v>
      </c>
    </row>
    <row r="27" spans="2:11" x14ac:dyDescent="0.25">
      <c r="G27"/>
      <c r="J27">
        <v>30</v>
      </c>
      <c r="K27">
        <v>2.0449999999999999</v>
      </c>
    </row>
    <row r="28" spans="2:11" x14ac:dyDescent="0.25">
      <c r="G28"/>
      <c r="J28">
        <v>40</v>
      </c>
      <c r="K28">
        <v>2.02</v>
      </c>
    </row>
    <row r="29" spans="2:11" x14ac:dyDescent="0.25">
      <c r="G29"/>
      <c r="J29">
        <v>60</v>
      </c>
      <c r="K29">
        <v>2</v>
      </c>
    </row>
    <row r="30" spans="2:11" x14ac:dyDescent="0.25">
      <c r="G30"/>
    </row>
    <row r="31" spans="2:11" x14ac:dyDescent="0.25">
      <c r="G31"/>
    </row>
    <row r="32" spans="2:11" x14ac:dyDescent="0.25">
      <c r="G32"/>
    </row>
    <row r="33" spans="7:7" x14ac:dyDescent="0.25">
      <c r="G33"/>
    </row>
    <row r="34" spans="7:7" x14ac:dyDescent="0.25">
      <c r="G34"/>
    </row>
    <row r="35" spans="7:7" x14ac:dyDescent="0.25">
      <c r="G35"/>
    </row>
    <row r="36" spans="7:7" x14ac:dyDescent="0.25">
      <c r="G36"/>
    </row>
    <row r="37" spans="7:7" x14ac:dyDescent="0.25">
      <c r="G37"/>
    </row>
    <row r="38" spans="7:7" x14ac:dyDescent="0.25">
      <c r="G38"/>
    </row>
    <row r="39" spans="7:7" x14ac:dyDescent="0.25">
      <c r="G39"/>
    </row>
    <row r="40" spans="7:7" x14ac:dyDescent="0.25">
      <c r="G40"/>
    </row>
    <row r="41" spans="7:7" x14ac:dyDescent="0.25">
      <c r="G41"/>
    </row>
    <row r="42" spans="7:7" x14ac:dyDescent="0.25">
      <c r="G42"/>
    </row>
    <row r="43" spans="7:7" x14ac:dyDescent="0.25">
      <c r="G43"/>
    </row>
    <row r="44" spans="7:7" x14ac:dyDescent="0.25">
      <c r="G44"/>
    </row>
    <row r="45" spans="7:7" x14ac:dyDescent="0.25">
      <c r="G45"/>
    </row>
    <row r="46" spans="7:7" x14ac:dyDescent="0.25">
      <c r="G46"/>
    </row>
    <row r="47" spans="7:7" x14ac:dyDescent="0.25">
      <c r="G47"/>
    </row>
    <row r="48" spans="7:7" x14ac:dyDescent="0.25">
      <c r="G48"/>
    </row>
    <row r="49" spans="7:7" x14ac:dyDescent="0.25">
      <c r="G49"/>
    </row>
    <row r="50" spans="7:7" x14ac:dyDescent="0.25">
      <c r="G50"/>
    </row>
    <row r="51" spans="7:7" x14ac:dyDescent="0.25">
      <c r="G51"/>
    </row>
    <row r="52" spans="7:7" x14ac:dyDescent="0.25">
      <c r="G52"/>
    </row>
    <row r="53" spans="7:7" x14ac:dyDescent="0.25">
      <c r="G53"/>
    </row>
    <row r="54" spans="7:7" x14ac:dyDescent="0.25">
      <c r="G54"/>
    </row>
    <row r="55" spans="7:7" x14ac:dyDescent="0.25">
      <c r="G55"/>
    </row>
    <row r="56" spans="7:7" x14ac:dyDescent="0.25">
      <c r="G56"/>
    </row>
    <row r="57" spans="7:7" x14ac:dyDescent="0.25">
      <c r="G57"/>
    </row>
    <row r="58" spans="7:7" x14ac:dyDescent="0.25">
      <c r="G58"/>
    </row>
    <row r="59" spans="7:7" x14ac:dyDescent="0.25">
      <c r="G59"/>
    </row>
    <row r="60" spans="7:7" x14ac:dyDescent="0.25">
      <c r="G60"/>
    </row>
    <row r="61" spans="7:7" x14ac:dyDescent="0.25">
      <c r="G61"/>
    </row>
    <row r="62" spans="7:7" x14ac:dyDescent="0.25">
      <c r="G62"/>
    </row>
    <row r="63" spans="7:7" x14ac:dyDescent="0.25">
      <c r="G63"/>
    </row>
    <row r="64" spans="7:7" x14ac:dyDescent="0.25">
      <c r="G64"/>
    </row>
    <row r="65" spans="7:7" x14ac:dyDescent="0.25">
      <c r="G65"/>
    </row>
    <row r="66" spans="7:7" x14ac:dyDescent="0.25">
      <c r="G66"/>
    </row>
  </sheetData>
  <mergeCells count="1">
    <mergeCell ref="B1:C1"/>
  </mergeCells>
  <pageMargins left="0.7" right="0.7" top="0.75" bottom="0.75" header="0.3" footer="0.3"/>
  <pageSetup orientation="portrait" r:id="rId1"/>
  <drawing r:id="rId2"/>
  <tableParts count="2">
    <tablePart r:id="rId3"/>
    <tablePart r:id="rId4"/>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0623D-21B3-40FC-B2B2-5712B9FC4192}">
  <sheetPr>
    <tabColor theme="7" tint="0.39997558519241921"/>
  </sheetPr>
  <dimension ref="B1:R66"/>
  <sheetViews>
    <sheetView tabSelected="1" topLeftCell="A9" zoomScaleNormal="100" workbookViewId="0">
      <selection activeCell="E16" sqref="E16"/>
    </sheetView>
  </sheetViews>
  <sheetFormatPr defaultColWidth="9.140625" defaultRowHeight="15" x14ac:dyDescent="0.25"/>
  <cols>
    <col min="1" max="1" width="3" style="1" customWidth="1"/>
    <col min="2" max="2" width="46" style="1" customWidth="1"/>
    <col min="3" max="3" width="27.140625" style="1" customWidth="1"/>
    <col min="4" max="5" width="3" style="1" customWidth="1"/>
    <col min="6" max="6" width="9.140625" style="1"/>
    <col min="7" max="7" width="36.28515625" style="1" bestFit="1" customWidth="1"/>
    <col min="8" max="8" width="14.85546875" style="1" bestFit="1" customWidth="1"/>
    <col min="9" max="9" width="9.140625" style="1"/>
    <col min="10" max="10" width="23" style="1" customWidth="1"/>
    <col min="11" max="16384" width="9.140625" style="1"/>
  </cols>
  <sheetData>
    <row r="1" spans="2:11" ht="23.25" x14ac:dyDescent="0.25">
      <c r="B1" s="18" t="s">
        <v>28</v>
      </c>
      <c r="C1" s="18"/>
    </row>
    <row r="2" spans="2:11" ht="20.25" thickBot="1" x14ac:dyDescent="0.35">
      <c r="B2" s="8" t="s">
        <v>20</v>
      </c>
    </row>
    <row r="3" spans="2:11" ht="60.75" thickTop="1" x14ac:dyDescent="0.25">
      <c r="B3" s="5" t="s">
        <v>22</v>
      </c>
    </row>
    <row r="4" spans="2:11" x14ac:dyDescent="0.25">
      <c r="B4" s="5"/>
    </row>
    <row r="5" spans="2:11" x14ac:dyDescent="0.25">
      <c r="B5" t="s">
        <v>16</v>
      </c>
      <c r="C5" s="12" t="s">
        <v>74</v>
      </c>
      <c r="G5" t="s">
        <v>14</v>
      </c>
      <c r="H5" t="s">
        <v>15</v>
      </c>
    </row>
    <row r="6" spans="2:11" ht="15" customHeight="1" x14ac:dyDescent="0.25">
      <c r="B6" t="s">
        <v>17</v>
      </c>
      <c r="C6" s="2" t="s">
        <v>21</v>
      </c>
      <c r="G6" t="s">
        <v>11</v>
      </c>
      <c r="H6" t="s">
        <v>13</v>
      </c>
      <c r="J6" t="s">
        <v>58</v>
      </c>
      <c r="K6">
        <f>MAX(G7:G26)</f>
        <v>20</v>
      </c>
    </row>
    <row r="7" spans="2:11" ht="15" customHeight="1" x14ac:dyDescent="0.25">
      <c r="B7" t="s">
        <v>18</v>
      </c>
      <c r="C7" s="6">
        <f ca="1">TODAY()</f>
        <v>45321</v>
      </c>
      <c r="G7">
        <v>1</v>
      </c>
      <c r="H7" s="1">
        <v>2.1579999999999999</v>
      </c>
      <c r="J7" t="s">
        <v>59</v>
      </c>
      <c r="K7">
        <f>VLOOKUP(K6,confidence_95_multiplier12202224283032346[#All],2,FALSE)</f>
        <v>2.093</v>
      </c>
    </row>
    <row r="8" spans="2:11" ht="15" customHeight="1" x14ac:dyDescent="0.25">
      <c r="G8">
        <v>2</v>
      </c>
      <c r="H8" s="1">
        <v>2.0499999999999998</v>
      </c>
      <c r="J8" t="s">
        <v>60</v>
      </c>
      <c r="K8">
        <f>AVERAGE(porosity_readings11192123272931334[x_i])</f>
        <v>2.21475</v>
      </c>
    </row>
    <row r="9" spans="2:11" ht="15" customHeight="1" x14ac:dyDescent="0.25">
      <c r="B9" t="s">
        <v>55</v>
      </c>
      <c r="C9" s="3">
        <v>1000</v>
      </c>
      <c r="G9">
        <v>3</v>
      </c>
      <c r="H9" s="1">
        <v>1.7170000000000001</v>
      </c>
      <c r="J9" t="s">
        <v>61</v>
      </c>
      <c r="K9">
        <f>_xlfn.STDEV.S(porosity_readings11192123272931334[x_i])</f>
        <v>0.66868754996162805</v>
      </c>
    </row>
    <row r="10" spans="2:11" ht="15" customHeight="1" x14ac:dyDescent="0.25">
      <c r="B10" t="s">
        <v>26</v>
      </c>
      <c r="C10" s="11">
        <f>AsSprayed_TopLayer!K8</f>
        <v>2.21475</v>
      </c>
      <c r="G10">
        <v>4</v>
      </c>
      <c r="H10" s="1">
        <v>1.544</v>
      </c>
      <c r="J10" t="s">
        <v>62</v>
      </c>
      <c r="K10" s="7">
        <f>K9*K7/(SQRT(K6))</f>
        <v>0.31295181008642187</v>
      </c>
    </row>
    <row r="11" spans="2:11" ht="15" customHeight="1" x14ac:dyDescent="0.25">
      <c r="B11" t="s">
        <v>25</v>
      </c>
      <c r="C11" s="9">
        <f>AsSprayed_TopLayer!K12</f>
        <v>1.2529999999999999</v>
      </c>
      <c r="G11">
        <v>5</v>
      </c>
      <c r="H11" s="1">
        <v>3.1930000000000001</v>
      </c>
      <c r="J11" t="s">
        <v>63</v>
      </c>
      <c r="K11" s="7">
        <f>K10/K8</f>
        <v>0.14130344738070746</v>
      </c>
    </row>
    <row r="12" spans="2:11" ht="15" customHeight="1" x14ac:dyDescent="0.25">
      <c r="B12" t="s">
        <v>24</v>
      </c>
      <c r="C12" s="9">
        <f>AsSprayed_TopLayer!K13</f>
        <v>3.2090000000000001</v>
      </c>
      <c r="G12">
        <v>6</v>
      </c>
      <c r="H12" s="1">
        <v>2.907</v>
      </c>
      <c r="J12" t="s">
        <v>64</v>
      </c>
      <c r="K12">
        <f>MIN(porosity_readings11192123272931334[x_i])</f>
        <v>1.2529999999999999</v>
      </c>
    </row>
    <row r="13" spans="2:11" ht="15" customHeight="1" x14ac:dyDescent="0.25">
      <c r="B13" t="s">
        <v>12</v>
      </c>
      <c r="C13" s="11">
        <f>AsSprayed_TopLayer!K9</f>
        <v>0.66868754996162805</v>
      </c>
      <c r="G13">
        <v>7</v>
      </c>
      <c r="H13" s="1">
        <v>3.2090000000000001</v>
      </c>
      <c r="J13" t="s">
        <v>65</v>
      </c>
      <c r="K13">
        <f>MAX(porosity_readings11192123272931334[x_i])</f>
        <v>3.2090000000000001</v>
      </c>
    </row>
    <row r="14" spans="2:11" ht="15" customHeight="1" x14ac:dyDescent="0.25">
      <c r="B14" t="s">
        <v>19</v>
      </c>
      <c r="C14" s="10">
        <f>AsSprayed_TopLayer!K10</f>
        <v>0.31295181008642187</v>
      </c>
      <c r="G14">
        <v>8</v>
      </c>
      <c r="H14" s="1">
        <v>2.9950000000000001</v>
      </c>
    </row>
    <row r="15" spans="2:11" ht="15" customHeight="1" x14ac:dyDescent="0.25">
      <c r="B15" t="s">
        <v>27</v>
      </c>
      <c r="C15" s="14">
        <f>AsSprayed_TopLayer!K11</f>
        <v>0.14130344738070746</v>
      </c>
      <c r="G15">
        <v>9</v>
      </c>
      <c r="H15" s="1">
        <v>2.4980000000000002</v>
      </c>
      <c r="J15" t="s">
        <v>5</v>
      </c>
      <c r="K15"/>
    </row>
    <row r="16" spans="2:11" ht="15" customHeight="1" x14ac:dyDescent="0.25">
      <c r="B16" t="s">
        <v>23</v>
      </c>
      <c r="C16" s="2">
        <f>AsSprayed_TopLayer!K6</f>
        <v>20</v>
      </c>
      <c r="G16">
        <v>10</v>
      </c>
      <c r="H16" s="1">
        <v>1.3009999999999999</v>
      </c>
      <c r="J16" t="s">
        <v>3</v>
      </c>
      <c r="K16" t="s">
        <v>4</v>
      </c>
    </row>
    <row r="17" spans="2:18" ht="15" customHeight="1" x14ac:dyDescent="0.25">
      <c r="G17">
        <v>11</v>
      </c>
      <c r="H17" s="1">
        <v>2.532</v>
      </c>
      <c r="J17">
        <v>20</v>
      </c>
      <c r="K17">
        <v>2.093</v>
      </c>
    </row>
    <row r="18" spans="2:18" x14ac:dyDescent="0.25">
      <c r="B18" s="1" t="s">
        <v>66</v>
      </c>
      <c r="C18" s="3">
        <v>0</v>
      </c>
      <c r="G18">
        <v>12</v>
      </c>
      <c r="H18" s="1">
        <v>3.1349999999999998</v>
      </c>
      <c r="J18">
        <v>21</v>
      </c>
      <c r="K18">
        <v>2.0859999999999999</v>
      </c>
    </row>
    <row r="19" spans="2:18" x14ac:dyDescent="0.25">
      <c r="B19" s="1" t="s">
        <v>53</v>
      </c>
      <c r="C19" s="2">
        <v>0</v>
      </c>
      <c r="G19">
        <v>13</v>
      </c>
      <c r="H19" s="1">
        <v>1.2529999999999999</v>
      </c>
      <c r="J19">
        <v>22</v>
      </c>
      <c r="K19">
        <v>2.08</v>
      </c>
    </row>
    <row r="20" spans="2:18" x14ac:dyDescent="0.25">
      <c r="B20" s="1" t="s">
        <v>54</v>
      </c>
      <c r="C20" s="2">
        <v>87</v>
      </c>
      <c r="G20">
        <v>14</v>
      </c>
      <c r="H20" s="1">
        <v>2.681</v>
      </c>
      <c r="J20">
        <v>23</v>
      </c>
      <c r="K20">
        <v>2.0739999999999998</v>
      </c>
    </row>
    <row r="21" spans="2:18" x14ac:dyDescent="0.25">
      <c r="G21">
        <v>15</v>
      </c>
      <c r="H21" s="1">
        <v>2.4710000000000001</v>
      </c>
      <c r="J21">
        <v>24</v>
      </c>
      <c r="K21">
        <v>2.069</v>
      </c>
    </row>
    <row r="22" spans="2:18" x14ac:dyDescent="0.25">
      <c r="G22">
        <v>16</v>
      </c>
      <c r="H22" s="1">
        <v>1.675</v>
      </c>
      <c r="J22">
        <v>25</v>
      </c>
      <c r="K22">
        <v>2.0640000000000001</v>
      </c>
    </row>
    <row r="23" spans="2:18" x14ac:dyDescent="0.25">
      <c r="C23" s="4"/>
      <c r="G23">
        <v>17</v>
      </c>
      <c r="H23" s="1">
        <v>1.544</v>
      </c>
      <c r="J23">
        <v>26</v>
      </c>
      <c r="K23">
        <v>2.06</v>
      </c>
    </row>
    <row r="24" spans="2:18" x14ac:dyDescent="0.25">
      <c r="G24">
        <v>18</v>
      </c>
      <c r="H24" s="1">
        <v>2.0649999999999999</v>
      </c>
      <c r="J24">
        <v>27</v>
      </c>
      <c r="K24">
        <v>2.056</v>
      </c>
      <c r="R24" s="19"/>
    </row>
    <row r="25" spans="2:18" x14ac:dyDescent="0.25">
      <c r="G25">
        <v>19</v>
      </c>
      <c r="H25" s="1">
        <v>1.274</v>
      </c>
      <c r="J25">
        <v>28</v>
      </c>
      <c r="K25">
        <v>2.052</v>
      </c>
      <c r="R25" s="19"/>
    </row>
    <row r="26" spans="2:18" x14ac:dyDescent="0.25">
      <c r="G26">
        <v>20</v>
      </c>
      <c r="H26" s="1">
        <v>2.093</v>
      </c>
      <c r="J26">
        <v>29</v>
      </c>
      <c r="K26">
        <v>2.048</v>
      </c>
    </row>
    <row r="27" spans="2:18" x14ac:dyDescent="0.25">
      <c r="G27"/>
      <c r="J27">
        <v>30</v>
      </c>
      <c r="K27">
        <v>2.0449999999999999</v>
      </c>
    </row>
    <row r="28" spans="2:18" x14ac:dyDescent="0.25">
      <c r="G28"/>
      <c r="J28">
        <v>40</v>
      </c>
      <c r="K28">
        <v>2.02</v>
      </c>
    </row>
    <row r="29" spans="2:18" x14ac:dyDescent="0.25">
      <c r="G29"/>
      <c r="J29">
        <v>60</v>
      </c>
      <c r="K29">
        <v>2</v>
      </c>
    </row>
    <row r="30" spans="2:18" x14ac:dyDescent="0.25">
      <c r="G30"/>
    </row>
    <row r="31" spans="2:18" x14ac:dyDescent="0.25">
      <c r="G31"/>
    </row>
    <row r="32" spans="2:18" x14ac:dyDescent="0.25">
      <c r="G32"/>
    </row>
    <row r="33" spans="7:7" x14ac:dyDescent="0.25">
      <c r="G33"/>
    </row>
    <row r="34" spans="7:7" x14ac:dyDescent="0.25">
      <c r="G34"/>
    </row>
    <row r="35" spans="7:7" x14ac:dyDescent="0.25">
      <c r="G35"/>
    </row>
    <row r="36" spans="7:7" x14ac:dyDescent="0.25">
      <c r="G36"/>
    </row>
    <row r="37" spans="7:7" x14ac:dyDescent="0.25">
      <c r="G37"/>
    </row>
    <row r="38" spans="7:7" x14ac:dyDescent="0.25">
      <c r="G38"/>
    </row>
    <row r="39" spans="7:7" x14ac:dyDescent="0.25">
      <c r="G39"/>
    </row>
    <row r="40" spans="7:7" x14ac:dyDescent="0.25">
      <c r="G40"/>
    </row>
    <row r="41" spans="7:7" x14ac:dyDescent="0.25">
      <c r="G41"/>
    </row>
    <row r="42" spans="7:7" x14ac:dyDescent="0.25">
      <c r="G42"/>
    </row>
    <row r="43" spans="7:7" x14ac:dyDescent="0.25">
      <c r="G43"/>
    </row>
    <row r="44" spans="7:7" x14ac:dyDescent="0.25">
      <c r="G44"/>
    </row>
    <row r="45" spans="7:7" x14ac:dyDescent="0.25">
      <c r="G45"/>
    </row>
    <row r="46" spans="7:7" x14ac:dyDescent="0.25">
      <c r="G46"/>
    </row>
    <row r="47" spans="7:7" x14ac:dyDescent="0.25">
      <c r="G47"/>
    </row>
    <row r="48" spans="7:7" x14ac:dyDescent="0.25">
      <c r="G48"/>
    </row>
    <row r="49" spans="7:7" x14ac:dyDescent="0.25">
      <c r="G49"/>
    </row>
    <row r="50" spans="7:7" x14ac:dyDescent="0.25">
      <c r="G50"/>
    </row>
    <row r="51" spans="7:7" x14ac:dyDescent="0.25">
      <c r="G51"/>
    </row>
    <row r="52" spans="7:7" x14ac:dyDescent="0.25">
      <c r="G52"/>
    </row>
    <row r="53" spans="7:7" x14ac:dyDescent="0.25">
      <c r="G53"/>
    </row>
    <row r="54" spans="7:7" x14ac:dyDescent="0.25">
      <c r="G54"/>
    </row>
    <row r="55" spans="7:7" x14ac:dyDescent="0.25">
      <c r="G55"/>
    </row>
    <row r="56" spans="7:7" x14ac:dyDescent="0.25">
      <c r="G56"/>
    </row>
    <row r="57" spans="7:7" x14ac:dyDescent="0.25">
      <c r="G57"/>
    </row>
    <row r="58" spans="7:7" x14ac:dyDescent="0.25">
      <c r="G58"/>
    </row>
    <row r="59" spans="7:7" x14ac:dyDescent="0.25">
      <c r="G59"/>
    </row>
    <row r="60" spans="7:7" x14ac:dyDescent="0.25">
      <c r="G60"/>
    </row>
    <row r="61" spans="7:7" x14ac:dyDescent="0.25">
      <c r="G61"/>
    </row>
    <row r="62" spans="7:7" x14ac:dyDescent="0.25">
      <c r="G62"/>
    </row>
    <row r="63" spans="7:7" x14ac:dyDescent="0.25">
      <c r="G63"/>
    </row>
    <row r="64" spans="7:7" x14ac:dyDescent="0.25">
      <c r="G64"/>
    </row>
    <row r="65" spans="7:7" x14ac:dyDescent="0.25">
      <c r="G65"/>
    </row>
    <row r="66" spans="7:7" x14ac:dyDescent="0.25">
      <c r="G66"/>
    </row>
  </sheetData>
  <mergeCells count="1">
    <mergeCell ref="B1:C1"/>
  </mergeCells>
  <pageMargins left="0.7" right="0.7" top="0.75" bottom="0.75" header="0.3" footer="0.3"/>
  <pageSetup orientation="portrait" r:id="rId1"/>
  <drawing r:id="rId2"/>
  <tableParts count="2">
    <tablePart r:id="rId3"/>
    <tablePart r:id="rId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F9D47E-5DDD-A649-80C0-35BAC4CC7344}">
  <sheetPr codeName="Sheet21">
    <tabColor theme="7" tint="0.39997558519241921"/>
  </sheetPr>
  <dimension ref="B1:S66"/>
  <sheetViews>
    <sheetView topLeftCell="A2" zoomScaleNormal="100" workbookViewId="0">
      <selection activeCell="C20" sqref="C20"/>
    </sheetView>
  </sheetViews>
  <sheetFormatPr defaultColWidth="9.140625" defaultRowHeight="15" x14ac:dyDescent="0.25"/>
  <cols>
    <col min="1" max="1" width="3" style="1" customWidth="1"/>
    <col min="2" max="2" width="46" style="1" customWidth="1"/>
    <col min="3" max="3" width="27.140625" style="1" customWidth="1"/>
    <col min="4" max="5" width="3" style="1" customWidth="1"/>
    <col min="6" max="6" width="9.140625" style="1"/>
    <col min="7" max="7" width="36.28515625" style="1" bestFit="1" customWidth="1"/>
    <col min="8" max="8" width="14.85546875" style="1" bestFit="1" customWidth="1"/>
    <col min="9" max="9" width="9.140625" style="1"/>
    <col min="10" max="10" width="23" style="1" customWidth="1"/>
    <col min="11" max="16384" width="9.140625" style="1"/>
  </cols>
  <sheetData>
    <row r="1" spans="2:19" ht="23.25" x14ac:dyDescent="0.25">
      <c r="B1" s="18" t="s">
        <v>28</v>
      </c>
      <c r="C1" s="18"/>
    </row>
    <row r="2" spans="2:19" ht="20.25" thickBot="1" x14ac:dyDescent="0.35">
      <c r="B2" s="8" t="s">
        <v>20</v>
      </c>
    </row>
    <row r="3" spans="2:19" ht="45.75" customHeight="1" thickTop="1" x14ac:dyDescent="0.25">
      <c r="B3" s="5" t="s">
        <v>22</v>
      </c>
    </row>
    <row r="4" spans="2:19" x14ac:dyDescent="0.25">
      <c r="B4" s="5"/>
    </row>
    <row r="5" spans="2:19" x14ac:dyDescent="0.25">
      <c r="B5" t="s">
        <v>16</v>
      </c>
      <c r="C5" s="12" t="s">
        <v>74</v>
      </c>
      <c r="G5" t="s">
        <v>14</v>
      </c>
      <c r="H5" t="s">
        <v>15</v>
      </c>
    </row>
    <row r="6" spans="2:19" x14ac:dyDescent="0.25">
      <c r="B6" t="s">
        <v>17</v>
      </c>
      <c r="C6" s="2" t="s">
        <v>21</v>
      </c>
      <c r="G6" t="s">
        <v>11</v>
      </c>
      <c r="H6" t="s">
        <v>13</v>
      </c>
      <c r="J6" t="s">
        <v>58</v>
      </c>
      <c r="K6">
        <f>MAX(G7:G66)</f>
        <v>60</v>
      </c>
      <c r="N6" s="1">
        <v>1</v>
      </c>
      <c r="O6" s="1">
        <v>56</v>
      </c>
      <c r="P6" s="1">
        <v>694</v>
      </c>
      <c r="Q6" s="1">
        <v>12.393000000000001</v>
      </c>
      <c r="R6" s="1">
        <v>2.7109999999999999</v>
      </c>
      <c r="S6" s="1">
        <v>255</v>
      </c>
    </row>
    <row r="7" spans="2:19" x14ac:dyDescent="0.25">
      <c r="B7" t="s">
        <v>18</v>
      </c>
      <c r="C7" s="6">
        <f ca="1">TODAY()</f>
        <v>45321</v>
      </c>
      <c r="G7">
        <v>1</v>
      </c>
      <c r="H7" s="1">
        <v>2.7109999999999999</v>
      </c>
      <c r="J7" t="s">
        <v>59</v>
      </c>
      <c r="K7">
        <f>VLOOKUP(K6,confidence_95_multiplier122022242830323444[#All],2,FALSE)</f>
        <v>2</v>
      </c>
      <c r="N7" s="1">
        <v>2</v>
      </c>
      <c r="O7" s="1">
        <v>43</v>
      </c>
      <c r="P7" s="1">
        <v>519</v>
      </c>
      <c r="Q7" s="1">
        <v>12.07</v>
      </c>
      <c r="R7" s="1">
        <v>2.0270000000000001</v>
      </c>
      <c r="S7" s="1">
        <v>255</v>
      </c>
    </row>
    <row r="8" spans="2:19" x14ac:dyDescent="0.25">
      <c r="G8">
        <v>2</v>
      </c>
      <c r="H8" s="1">
        <v>2.0270000000000001</v>
      </c>
      <c r="J8" t="s">
        <v>60</v>
      </c>
      <c r="K8">
        <f>AVERAGE(porosity_readings111921232729313343[x_i])</f>
        <v>2.7262666666666657</v>
      </c>
      <c r="N8" s="1">
        <v>3</v>
      </c>
      <c r="O8" s="1">
        <v>49</v>
      </c>
      <c r="P8" s="1">
        <v>719</v>
      </c>
      <c r="Q8" s="1">
        <v>14.673</v>
      </c>
      <c r="R8" s="1">
        <v>2.8090000000000002</v>
      </c>
      <c r="S8" s="1">
        <v>255</v>
      </c>
    </row>
    <row r="9" spans="2:19" x14ac:dyDescent="0.25">
      <c r="B9" t="s">
        <v>55</v>
      </c>
      <c r="C9" s="3">
        <v>1000</v>
      </c>
      <c r="G9">
        <v>3</v>
      </c>
      <c r="H9" s="1">
        <v>2.8090000000000002</v>
      </c>
      <c r="J9" t="s">
        <v>61</v>
      </c>
      <c r="K9">
        <f>_xlfn.STDEV.S(porosity_readings111921232729313343[x_i])</f>
        <v>0.98819861564101152</v>
      </c>
      <c r="N9" s="1">
        <v>4</v>
      </c>
      <c r="O9" s="1">
        <v>42</v>
      </c>
      <c r="P9" s="1">
        <v>457</v>
      </c>
      <c r="Q9" s="1">
        <v>10.881</v>
      </c>
      <c r="R9" s="1">
        <v>1.7849999999999999</v>
      </c>
      <c r="S9" s="1">
        <v>255</v>
      </c>
    </row>
    <row r="10" spans="2:19" x14ac:dyDescent="0.25">
      <c r="B10" t="s">
        <v>26</v>
      </c>
      <c r="C10" s="11">
        <f>'SHVOF_1000X (with cracks)'!K8</f>
        <v>2.7262666666666657</v>
      </c>
      <c r="G10">
        <v>4</v>
      </c>
      <c r="H10" s="1">
        <v>1.7849999999999999</v>
      </c>
      <c r="J10" t="s">
        <v>62</v>
      </c>
      <c r="K10" s="7">
        <f>K9*K7/(SQRT(K6))</f>
        <v>0.25515178540819078</v>
      </c>
      <c r="N10" s="1">
        <v>5</v>
      </c>
      <c r="O10" s="1">
        <v>57</v>
      </c>
      <c r="P10" s="1">
        <v>695</v>
      </c>
      <c r="Q10" s="1">
        <v>12.193</v>
      </c>
      <c r="R10" s="1">
        <v>2.7149999999999999</v>
      </c>
      <c r="S10" s="1">
        <v>255</v>
      </c>
    </row>
    <row r="11" spans="2:19" x14ac:dyDescent="0.25">
      <c r="B11" t="s">
        <v>25</v>
      </c>
      <c r="C11" s="9">
        <f>'SHVOF_1000X (with cracks)'!K12</f>
        <v>1.1599999999999999</v>
      </c>
      <c r="G11">
        <v>5</v>
      </c>
      <c r="H11" s="1">
        <v>2.7149999999999999</v>
      </c>
      <c r="J11" t="s">
        <v>63</v>
      </c>
      <c r="K11" s="7">
        <f>K10/K8</f>
        <v>9.3590179026822096E-2</v>
      </c>
      <c r="N11" s="1">
        <v>6</v>
      </c>
      <c r="O11" s="1">
        <v>64</v>
      </c>
      <c r="P11" s="1">
        <v>616</v>
      </c>
      <c r="Q11" s="1">
        <v>9.625</v>
      </c>
      <c r="R11" s="1">
        <v>2.4060000000000001</v>
      </c>
      <c r="S11" s="1">
        <v>255</v>
      </c>
    </row>
    <row r="12" spans="2:19" x14ac:dyDescent="0.25">
      <c r="B12" t="s">
        <v>24</v>
      </c>
      <c r="C12" s="9">
        <f>'SHVOF_1000X (with cracks)'!K13</f>
        <v>5.7329999999999997</v>
      </c>
      <c r="G12">
        <v>6</v>
      </c>
      <c r="H12" s="1">
        <v>2.4060000000000001</v>
      </c>
      <c r="J12" t="s">
        <v>64</v>
      </c>
      <c r="K12">
        <f>MIN(porosity_readings111921232729313343[x_i])</f>
        <v>1.1599999999999999</v>
      </c>
      <c r="N12" s="1">
        <v>7</v>
      </c>
      <c r="O12" s="1">
        <v>75</v>
      </c>
      <c r="P12" s="1">
        <v>857</v>
      </c>
      <c r="Q12" s="1">
        <v>11.427</v>
      </c>
      <c r="R12" s="1">
        <v>3.3479999999999999</v>
      </c>
      <c r="S12" s="1">
        <v>255</v>
      </c>
    </row>
    <row r="13" spans="2:19" x14ac:dyDescent="0.25">
      <c r="B13" t="s">
        <v>12</v>
      </c>
      <c r="C13" s="11">
        <f>'SHVOF_1000X (with cracks)'!K9</f>
        <v>0.98819861564101152</v>
      </c>
      <c r="G13">
        <v>7</v>
      </c>
      <c r="H13" s="1">
        <v>3.3479999999999999</v>
      </c>
      <c r="J13" t="s">
        <v>65</v>
      </c>
      <c r="K13">
        <f>MAX(porosity_readings111921232729313343[x_i])</f>
        <v>5.7329999999999997</v>
      </c>
      <c r="N13" s="1">
        <v>8</v>
      </c>
      <c r="O13" s="1">
        <v>44</v>
      </c>
      <c r="P13" s="1">
        <v>297</v>
      </c>
      <c r="Q13" s="1">
        <v>6.75</v>
      </c>
      <c r="R13" s="1">
        <v>1.1599999999999999</v>
      </c>
      <c r="S13" s="1">
        <v>255</v>
      </c>
    </row>
    <row r="14" spans="2:19" x14ac:dyDescent="0.25">
      <c r="B14" t="s">
        <v>19</v>
      </c>
      <c r="C14" s="10">
        <f>'SHVOF_1000X (with cracks)'!K10</f>
        <v>0.25515178540819078</v>
      </c>
      <c r="G14">
        <v>8</v>
      </c>
      <c r="H14" s="1">
        <v>1.1599999999999999</v>
      </c>
      <c r="N14" s="1">
        <v>9</v>
      </c>
      <c r="O14" s="1">
        <v>49</v>
      </c>
      <c r="P14" s="1">
        <v>1174</v>
      </c>
      <c r="Q14" s="1">
        <v>23.959</v>
      </c>
      <c r="R14" s="1">
        <v>4.5860000000000003</v>
      </c>
      <c r="S14" s="1">
        <v>255</v>
      </c>
    </row>
    <row r="15" spans="2:19" x14ac:dyDescent="0.25">
      <c r="B15" t="s">
        <v>27</v>
      </c>
      <c r="C15" s="14">
        <f>'SHVOF_1000X (with cracks)'!K11</f>
        <v>9.3590179026822096E-2</v>
      </c>
      <c r="G15">
        <v>9</v>
      </c>
      <c r="H15" s="1">
        <v>4.5860000000000003</v>
      </c>
      <c r="J15" t="s">
        <v>5</v>
      </c>
      <c r="K15"/>
      <c r="N15" s="1">
        <v>10</v>
      </c>
      <c r="O15" s="1">
        <v>64</v>
      </c>
      <c r="P15" s="1">
        <v>1021</v>
      </c>
      <c r="Q15" s="1">
        <v>15.952999999999999</v>
      </c>
      <c r="R15" s="1">
        <v>3.988</v>
      </c>
      <c r="S15" s="1">
        <v>255</v>
      </c>
    </row>
    <row r="16" spans="2:19" x14ac:dyDescent="0.25">
      <c r="B16" t="s">
        <v>23</v>
      </c>
      <c r="C16" s="2">
        <f>'SHVOF_1000X (with cracks)'!K6</f>
        <v>60</v>
      </c>
      <c r="G16">
        <v>10</v>
      </c>
      <c r="H16" s="1">
        <v>3.988</v>
      </c>
      <c r="J16" t="s">
        <v>3</v>
      </c>
      <c r="K16" t="s">
        <v>4</v>
      </c>
      <c r="N16" s="1">
        <v>11</v>
      </c>
      <c r="O16" s="1">
        <v>75</v>
      </c>
      <c r="P16" s="1">
        <v>740</v>
      </c>
      <c r="Q16" s="1">
        <v>9.8670000000000009</v>
      </c>
      <c r="R16" s="1">
        <v>2.891</v>
      </c>
      <c r="S16" s="1">
        <v>255</v>
      </c>
    </row>
    <row r="17" spans="2:19" x14ac:dyDescent="0.25">
      <c r="G17">
        <v>11</v>
      </c>
      <c r="H17" s="1">
        <v>2.891</v>
      </c>
      <c r="J17">
        <v>20</v>
      </c>
      <c r="K17">
        <v>2.093</v>
      </c>
      <c r="N17" s="1">
        <v>12</v>
      </c>
      <c r="O17" s="1">
        <v>37</v>
      </c>
      <c r="P17" s="1">
        <v>430</v>
      </c>
      <c r="Q17" s="1">
        <v>11.622</v>
      </c>
      <c r="R17" s="1">
        <v>1.68</v>
      </c>
      <c r="S17" s="1">
        <v>255</v>
      </c>
    </row>
    <row r="18" spans="2:19" x14ac:dyDescent="0.25">
      <c r="B18" s="1" t="s">
        <v>66</v>
      </c>
      <c r="C18" s="3">
        <v>0</v>
      </c>
      <c r="G18">
        <v>12</v>
      </c>
      <c r="H18" s="1">
        <v>1.68</v>
      </c>
      <c r="J18">
        <v>21</v>
      </c>
      <c r="K18">
        <v>2.0859999999999999</v>
      </c>
      <c r="N18" s="1">
        <v>13</v>
      </c>
      <c r="O18" s="1">
        <v>49</v>
      </c>
      <c r="P18" s="1">
        <v>747</v>
      </c>
      <c r="Q18" s="1">
        <v>15.244999999999999</v>
      </c>
      <c r="R18" s="1">
        <v>2.9180000000000001</v>
      </c>
      <c r="S18" s="1">
        <v>255</v>
      </c>
    </row>
    <row r="19" spans="2:19" x14ac:dyDescent="0.25">
      <c r="B19" s="1" t="s">
        <v>53</v>
      </c>
      <c r="C19" s="2">
        <v>0</v>
      </c>
      <c r="G19">
        <v>13</v>
      </c>
      <c r="H19" s="1">
        <v>2.9180000000000001</v>
      </c>
      <c r="J19">
        <v>22</v>
      </c>
      <c r="K19">
        <v>2.08</v>
      </c>
      <c r="N19" s="1">
        <v>14</v>
      </c>
      <c r="O19" s="1">
        <v>72</v>
      </c>
      <c r="P19" s="1">
        <v>1057</v>
      </c>
      <c r="Q19" s="1">
        <v>14.680999999999999</v>
      </c>
      <c r="R19" s="1">
        <v>4.1289999999999996</v>
      </c>
      <c r="S19" s="1">
        <v>255</v>
      </c>
    </row>
    <row r="20" spans="2:19" x14ac:dyDescent="0.25">
      <c r="B20" s="1" t="s">
        <v>54</v>
      </c>
      <c r="C20" s="2">
        <v>115</v>
      </c>
      <c r="G20">
        <v>14</v>
      </c>
      <c r="H20" s="1">
        <v>4.1289999999999996</v>
      </c>
      <c r="J20">
        <v>23</v>
      </c>
      <c r="K20">
        <v>2.0739999999999998</v>
      </c>
      <c r="N20" s="1">
        <v>15</v>
      </c>
      <c r="O20" s="1">
        <v>65</v>
      </c>
      <c r="P20" s="1">
        <v>1008</v>
      </c>
      <c r="Q20" s="1">
        <v>15.507999999999999</v>
      </c>
      <c r="R20" s="1">
        <v>3.9380000000000002</v>
      </c>
      <c r="S20" s="1">
        <v>255</v>
      </c>
    </row>
    <row r="21" spans="2:19" x14ac:dyDescent="0.25">
      <c r="G21">
        <v>15</v>
      </c>
      <c r="H21" s="1">
        <v>3.9380000000000002</v>
      </c>
      <c r="J21">
        <v>24</v>
      </c>
      <c r="K21">
        <v>2.069</v>
      </c>
      <c r="N21" s="1">
        <v>16</v>
      </c>
      <c r="O21" s="1">
        <v>71</v>
      </c>
      <c r="P21" s="1">
        <v>706</v>
      </c>
      <c r="Q21" s="1">
        <v>9.9440000000000008</v>
      </c>
      <c r="R21" s="1">
        <v>2.758</v>
      </c>
      <c r="S21" s="1">
        <v>255</v>
      </c>
    </row>
    <row r="22" spans="2:19" x14ac:dyDescent="0.25">
      <c r="G22">
        <v>16</v>
      </c>
      <c r="H22" s="1">
        <v>2.758</v>
      </c>
      <c r="J22">
        <v>25</v>
      </c>
      <c r="K22">
        <v>2.0640000000000001</v>
      </c>
      <c r="N22" s="1">
        <v>17</v>
      </c>
      <c r="O22" s="1">
        <v>53</v>
      </c>
      <c r="P22" s="1">
        <v>659</v>
      </c>
      <c r="Q22" s="1">
        <v>12.433999999999999</v>
      </c>
      <c r="R22" s="1">
        <v>2.5739999999999998</v>
      </c>
      <c r="S22" s="1">
        <v>255</v>
      </c>
    </row>
    <row r="23" spans="2:19" x14ac:dyDescent="0.25">
      <c r="C23" s="4"/>
      <c r="G23">
        <v>17</v>
      </c>
      <c r="H23" s="1">
        <v>2.5739999999999998</v>
      </c>
      <c r="J23">
        <v>26</v>
      </c>
      <c r="K23">
        <v>2.06</v>
      </c>
      <c r="N23" s="1">
        <v>18</v>
      </c>
      <c r="O23" s="1">
        <v>55</v>
      </c>
      <c r="P23" s="1">
        <v>899</v>
      </c>
      <c r="Q23" s="1">
        <v>16.344999999999999</v>
      </c>
      <c r="R23" s="1">
        <v>3.512</v>
      </c>
      <c r="S23" s="1">
        <v>255</v>
      </c>
    </row>
    <row r="24" spans="2:19" x14ac:dyDescent="0.25">
      <c r="G24">
        <v>18</v>
      </c>
      <c r="H24" s="1">
        <v>3.512</v>
      </c>
      <c r="J24">
        <v>27</v>
      </c>
      <c r="K24">
        <v>2.056</v>
      </c>
      <c r="N24" s="1">
        <v>19</v>
      </c>
      <c r="O24" s="1">
        <v>48</v>
      </c>
      <c r="P24" s="1">
        <v>438</v>
      </c>
      <c r="Q24" s="1">
        <v>9.125</v>
      </c>
      <c r="R24" s="1">
        <v>1.7110000000000001</v>
      </c>
      <c r="S24" s="1">
        <v>255</v>
      </c>
    </row>
    <row r="25" spans="2:19" x14ac:dyDescent="0.25">
      <c r="G25">
        <v>19</v>
      </c>
      <c r="H25" s="1">
        <v>1.7110000000000001</v>
      </c>
      <c r="J25">
        <v>28</v>
      </c>
      <c r="K25">
        <v>2.052</v>
      </c>
      <c r="N25" s="1">
        <v>20</v>
      </c>
      <c r="O25" s="1">
        <v>74</v>
      </c>
      <c r="P25" s="1">
        <v>933</v>
      </c>
      <c r="Q25" s="1">
        <v>12.608000000000001</v>
      </c>
      <c r="R25" s="1">
        <v>3.645</v>
      </c>
      <c r="S25" s="1">
        <v>255</v>
      </c>
    </row>
    <row r="26" spans="2:19" x14ac:dyDescent="0.25">
      <c r="G26">
        <v>20</v>
      </c>
      <c r="H26" s="1">
        <v>3.645</v>
      </c>
      <c r="J26">
        <v>29</v>
      </c>
      <c r="K26">
        <v>2.048</v>
      </c>
      <c r="N26" s="1">
        <v>1</v>
      </c>
      <c r="O26" s="1">
        <v>55</v>
      </c>
      <c r="P26" s="1">
        <v>536</v>
      </c>
      <c r="Q26" s="1">
        <v>9.7449999999999992</v>
      </c>
      <c r="R26" s="1">
        <v>2.1669999999999998</v>
      </c>
      <c r="S26" s="1">
        <v>255</v>
      </c>
    </row>
    <row r="27" spans="2:19" x14ac:dyDescent="0.25">
      <c r="G27">
        <v>21</v>
      </c>
      <c r="H27" s="1">
        <v>2.1669999999999998</v>
      </c>
      <c r="J27">
        <v>30</v>
      </c>
      <c r="K27">
        <v>2.0449999999999999</v>
      </c>
      <c r="N27" s="1">
        <v>2</v>
      </c>
      <c r="O27" s="1">
        <v>52</v>
      </c>
      <c r="P27" s="1">
        <v>535</v>
      </c>
      <c r="Q27" s="1">
        <v>10.288</v>
      </c>
      <c r="R27" s="1">
        <v>2.1629999999999998</v>
      </c>
      <c r="S27" s="1">
        <v>255</v>
      </c>
    </row>
    <row r="28" spans="2:19" x14ac:dyDescent="0.25">
      <c r="G28">
        <v>22</v>
      </c>
      <c r="H28" s="1">
        <v>2.1629999999999998</v>
      </c>
      <c r="J28">
        <v>40</v>
      </c>
      <c r="K28">
        <v>2.02</v>
      </c>
      <c r="N28" s="1">
        <v>3</v>
      </c>
      <c r="O28" s="1">
        <v>52</v>
      </c>
      <c r="P28" s="1">
        <v>630</v>
      </c>
      <c r="Q28" s="1">
        <v>12.115</v>
      </c>
      <c r="R28" s="1">
        <v>2.5470000000000002</v>
      </c>
      <c r="S28" s="1">
        <v>255</v>
      </c>
    </row>
    <row r="29" spans="2:19" x14ac:dyDescent="0.25">
      <c r="G29">
        <v>23</v>
      </c>
      <c r="H29" s="1">
        <v>2.5470000000000002</v>
      </c>
      <c r="J29">
        <v>60</v>
      </c>
      <c r="K29">
        <v>2</v>
      </c>
      <c r="N29" s="1">
        <v>4</v>
      </c>
      <c r="O29" s="1">
        <v>59</v>
      </c>
      <c r="P29" s="1">
        <v>561</v>
      </c>
      <c r="Q29" s="1">
        <v>9.5079999999999991</v>
      </c>
      <c r="R29" s="1">
        <v>2.2679999999999998</v>
      </c>
      <c r="S29" s="1">
        <v>255</v>
      </c>
    </row>
    <row r="30" spans="2:19" x14ac:dyDescent="0.25">
      <c r="G30">
        <v>24</v>
      </c>
      <c r="H30" s="1">
        <v>2.2679999999999998</v>
      </c>
      <c r="N30" s="1">
        <v>5</v>
      </c>
      <c r="O30" s="1">
        <v>65</v>
      </c>
      <c r="P30" s="1">
        <v>730</v>
      </c>
      <c r="Q30" s="1">
        <v>11.231</v>
      </c>
      <c r="R30" s="1">
        <v>2.9510000000000001</v>
      </c>
      <c r="S30" s="1">
        <v>255</v>
      </c>
    </row>
    <row r="31" spans="2:19" x14ac:dyDescent="0.25">
      <c r="G31">
        <v>25</v>
      </c>
      <c r="H31" s="1">
        <v>2.9510000000000001</v>
      </c>
      <c r="N31" s="1">
        <v>6</v>
      </c>
      <c r="O31" s="1">
        <v>52</v>
      </c>
      <c r="P31" s="1">
        <v>621</v>
      </c>
      <c r="Q31" s="1">
        <v>11.942</v>
      </c>
      <c r="R31" s="1">
        <v>2.5110000000000001</v>
      </c>
      <c r="S31" s="1">
        <v>255</v>
      </c>
    </row>
    <row r="32" spans="2:19" x14ac:dyDescent="0.25">
      <c r="G32">
        <v>26</v>
      </c>
      <c r="H32" s="1">
        <v>2.5110000000000001</v>
      </c>
      <c r="N32" s="1">
        <v>7</v>
      </c>
      <c r="O32" s="1">
        <v>49</v>
      </c>
      <c r="P32" s="1">
        <v>723</v>
      </c>
      <c r="Q32" s="1">
        <v>14.755000000000001</v>
      </c>
      <c r="R32" s="1">
        <v>2.923</v>
      </c>
      <c r="S32" s="1">
        <v>255</v>
      </c>
    </row>
    <row r="33" spans="7:19" x14ac:dyDescent="0.25">
      <c r="G33">
        <v>27</v>
      </c>
      <c r="H33" s="1">
        <v>2.923</v>
      </c>
      <c r="N33" s="1">
        <v>8</v>
      </c>
      <c r="O33" s="1">
        <v>75</v>
      </c>
      <c r="P33" s="1">
        <v>1009</v>
      </c>
      <c r="Q33" s="1">
        <v>13.452999999999999</v>
      </c>
      <c r="R33" s="1">
        <v>4.0789999999999997</v>
      </c>
      <c r="S33" s="1">
        <v>255</v>
      </c>
    </row>
    <row r="34" spans="7:19" x14ac:dyDescent="0.25">
      <c r="G34">
        <v>28</v>
      </c>
      <c r="H34" s="1">
        <v>4.0789999999999997</v>
      </c>
      <c r="N34" s="1">
        <v>9</v>
      </c>
      <c r="O34" s="1">
        <v>59</v>
      </c>
      <c r="P34" s="1">
        <v>1137</v>
      </c>
      <c r="Q34" s="1">
        <v>19.271000000000001</v>
      </c>
      <c r="R34" s="1">
        <v>4.5970000000000004</v>
      </c>
      <c r="S34" s="1">
        <v>255</v>
      </c>
    </row>
    <row r="35" spans="7:19" x14ac:dyDescent="0.25">
      <c r="G35">
        <v>29</v>
      </c>
      <c r="H35" s="1">
        <v>4.5970000000000004</v>
      </c>
      <c r="N35" s="1">
        <v>10</v>
      </c>
      <c r="O35" s="1">
        <v>65</v>
      </c>
      <c r="P35" s="1">
        <v>862</v>
      </c>
      <c r="Q35" s="1">
        <v>13.262</v>
      </c>
      <c r="R35" s="1">
        <v>3.4849999999999999</v>
      </c>
      <c r="S35" s="1">
        <v>255</v>
      </c>
    </row>
    <row r="36" spans="7:19" x14ac:dyDescent="0.25">
      <c r="G36">
        <v>30</v>
      </c>
      <c r="H36" s="1">
        <v>3.4849999999999999</v>
      </c>
      <c r="N36" s="1">
        <v>11</v>
      </c>
      <c r="O36" s="1">
        <v>53</v>
      </c>
      <c r="P36" s="1">
        <v>605</v>
      </c>
      <c r="Q36" s="1">
        <v>11.414999999999999</v>
      </c>
      <c r="R36" s="1">
        <v>2.4460000000000002</v>
      </c>
      <c r="S36" s="1">
        <v>255</v>
      </c>
    </row>
    <row r="37" spans="7:19" x14ac:dyDescent="0.25">
      <c r="G37">
        <v>31</v>
      </c>
      <c r="H37" s="1">
        <v>2.4460000000000002</v>
      </c>
      <c r="N37" s="1">
        <v>12</v>
      </c>
      <c r="O37" s="1">
        <v>47</v>
      </c>
      <c r="P37" s="1">
        <v>1416</v>
      </c>
      <c r="Q37" s="1">
        <v>30.128</v>
      </c>
      <c r="R37" s="1">
        <v>5.7249999999999996</v>
      </c>
      <c r="S37" s="1">
        <v>255</v>
      </c>
    </row>
    <row r="38" spans="7:19" x14ac:dyDescent="0.25">
      <c r="G38">
        <v>32</v>
      </c>
      <c r="H38" s="1">
        <v>5.7249999999999996</v>
      </c>
      <c r="N38" s="1">
        <v>13</v>
      </c>
      <c r="O38" s="1">
        <v>64</v>
      </c>
      <c r="P38" s="1">
        <v>730</v>
      </c>
      <c r="Q38" s="1">
        <v>11.406000000000001</v>
      </c>
      <c r="R38" s="1">
        <v>2.9510000000000001</v>
      </c>
      <c r="S38" s="1">
        <v>255</v>
      </c>
    </row>
    <row r="39" spans="7:19" x14ac:dyDescent="0.25">
      <c r="G39">
        <v>33</v>
      </c>
      <c r="H39" s="1">
        <v>2.9510000000000001</v>
      </c>
      <c r="N39" s="1">
        <v>14</v>
      </c>
      <c r="O39" s="1">
        <v>53</v>
      </c>
      <c r="P39" s="1">
        <v>460</v>
      </c>
      <c r="Q39" s="1">
        <v>8.6790000000000003</v>
      </c>
      <c r="R39" s="1">
        <v>1.86</v>
      </c>
      <c r="S39" s="1">
        <v>255</v>
      </c>
    </row>
    <row r="40" spans="7:19" x14ac:dyDescent="0.25">
      <c r="G40">
        <v>34</v>
      </c>
      <c r="H40" s="1">
        <v>1.86</v>
      </c>
      <c r="N40" s="1">
        <v>15</v>
      </c>
      <c r="O40" s="1">
        <v>62</v>
      </c>
      <c r="P40" s="1">
        <v>507</v>
      </c>
      <c r="Q40" s="1">
        <v>8.1769999999999996</v>
      </c>
      <c r="R40" s="1">
        <v>2.0499999999999998</v>
      </c>
      <c r="S40" s="1">
        <v>255</v>
      </c>
    </row>
    <row r="41" spans="7:19" x14ac:dyDescent="0.25">
      <c r="G41">
        <v>35</v>
      </c>
      <c r="H41" s="1">
        <v>2.0499999999999998</v>
      </c>
      <c r="N41" s="1">
        <v>16</v>
      </c>
      <c r="O41" s="1">
        <v>56</v>
      </c>
      <c r="P41" s="1">
        <v>481</v>
      </c>
      <c r="Q41" s="1">
        <v>8.5890000000000004</v>
      </c>
      <c r="R41" s="1">
        <v>1.9450000000000001</v>
      </c>
      <c r="S41" s="1">
        <v>255</v>
      </c>
    </row>
    <row r="42" spans="7:19" x14ac:dyDescent="0.25">
      <c r="G42">
        <v>36</v>
      </c>
      <c r="H42" s="1">
        <v>1.9450000000000001</v>
      </c>
      <c r="N42" s="1">
        <v>17</v>
      </c>
      <c r="O42" s="1">
        <v>67</v>
      </c>
      <c r="P42" s="1">
        <v>727</v>
      </c>
      <c r="Q42" s="1">
        <v>10.851000000000001</v>
      </c>
      <c r="R42" s="1">
        <v>2.9390000000000001</v>
      </c>
      <c r="S42" s="1">
        <v>255</v>
      </c>
    </row>
    <row r="43" spans="7:19" x14ac:dyDescent="0.25">
      <c r="G43">
        <v>37</v>
      </c>
      <c r="H43" s="1">
        <v>2.9390000000000001</v>
      </c>
      <c r="N43" s="1">
        <v>18</v>
      </c>
      <c r="O43" s="1">
        <v>62</v>
      </c>
      <c r="P43" s="1">
        <v>1418</v>
      </c>
      <c r="Q43" s="1">
        <v>22.870999999999999</v>
      </c>
      <c r="R43" s="1">
        <v>5.7329999999999997</v>
      </c>
      <c r="S43" s="1">
        <v>255</v>
      </c>
    </row>
    <row r="44" spans="7:19" x14ac:dyDescent="0.25">
      <c r="G44">
        <v>38</v>
      </c>
      <c r="H44" s="1">
        <v>5.7329999999999997</v>
      </c>
      <c r="N44" s="1">
        <v>19</v>
      </c>
      <c r="O44" s="1">
        <v>61</v>
      </c>
      <c r="P44" s="1">
        <v>569</v>
      </c>
      <c r="Q44" s="1">
        <v>9.3279999999999994</v>
      </c>
      <c r="R44" s="1">
        <v>2.2999999999999998</v>
      </c>
      <c r="S44" s="1">
        <v>255</v>
      </c>
    </row>
    <row r="45" spans="7:19" x14ac:dyDescent="0.25">
      <c r="G45">
        <v>39</v>
      </c>
      <c r="H45" s="1">
        <v>2.2999999999999998</v>
      </c>
      <c r="N45" s="1">
        <v>20</v>
      </c>
      <c r="O45" s="1">
        <v>49</v>
      </c>
      <c r="P45" s="1">
        <v>465</v>
      </c>
      <c r="Q45" s="1">
        <v>9.49</v>
      </c>
      <c r="R45" s="1">
        <v>1.88</v>
      </c>
      <c r="S45" s="1">
        <v>255</v>
      </c>
    </row>
    <row r="46" spans="7:19" x14ac:dyDescent="0.25">
      <c r="G46">
        <v>40</v>
      </c>
      <c r="H46" s="1">
        <v>1.88</v>
      </c>
      <c r="N46" s="1">
        <v>1</v>
      </c>
      <c r="O46" s="1">
        <v>60</v>
      </c>
      <c r="P46" s="1">
        <v>528</v>
      </c>
      <c r="Q46" s="1">
        <v>8.8000000000000007</v>
      </c>
      <c r="R46" s="1">
        <v>2.2509999999999999</v>
      </c>
      <c r="S46" s="1">
        <v>255</v>
      </c>
    </row>
    <row r="47" spans="7:19" x14ac:dyDescent="0.25">
      <c r="G47">
        <v>41</v>
      </c>
      <c r="H47" s="1">
        <v>2.2509999999999999</v>
      </c>
      <c r="N47" s="1">
        <v>2</v>
      </c>
      <c r="O47" s="1">
        <v>54</v>
      </c>
      <c r="P47" s="1">
        <v>1024</v>
      </c>
      <c r="Q47" s="1">
        <v>18.963000000000001</v>
      </c>
      <c r="R47" s="1">
        <v>4.3650000000000002</v>
      </c>
      <c r="S47" s="1">
        <v>255</v>
      </c>
    </row>
    <row r="48" spans="7:19" x14ac:dyDescent="0.25">
      <c r="G48">
        <v>42</v>
      </c>
      <c r="H48" s="1">
        <v>4.3650000000000002</v>
      </c>
      <c r="N48" s="1">
        <v>3</v>
      </c>
      <c r="O48" s="1">
        <v>63</v>
      </c>
      <c r="P48" s="1">
        <v>783</v>
      </c>
      <c r="Q48" s="1">
        <v>12.429</v>
      </c>
      <c r="R48" s="1">
        <v>3.3380000000000001</v>
      </c>
      <c r="S48" s="1">
        <v>255</v>
      </c>
    </row>
    <row r="49" spans="7:19" x14ac:dyDescent="0.25">
      <c r="G49">
        <v>43</v>
      </c>
      <c r="H49" s="1">
        <v>3.3380000000000001</v>
      </c>
      <c r="N49" s="1">
        <v>4</v>
      </c>
      <c r="O49" s="1">
        <v>48</v>
      </c>
      <c r="P49" s="1">
        <v>455</v>
      </c>
      <c r="Q49" s="1">
        <v>9.4789999999999992</v>
      </c>
      <c r="R49" s="1">
        <v>1.9390000000000001</v>
      </c>
      <c r="S49" s="1">
        <v>255</v>
      </c>
    </row>
    <row r="50" spans="7:19" x14ac:dyDescent="0.25">
      <c r="G50">
        <v>44</v>
      </c>
      <c r="H50" s="1">
        <v>1.9390000000000001</v>
      </c>
      <c r="N50" s="1">
        <v>5</v>
      </c>
      <c r="O50" s="1">
        <v>49</v>
      </c>
      <c r="P50" s="1">
        <v>450</v>
      </c>
      <c r="Q50" s="1">
        <v>9.1839999999999993</v>
      </c>
      <c r="R50" s="1">
        <v>1.9179999999999999</v>
      </c>
      <c r="S50" s="1">
        <v>255</v>
      </c>
    </row>
    <row r="51" spans="7:19" x14ac:dyDescent="0.25">
      <c r="G51">
        <v>45</v>
      </c>
      <c r="H51" s="1">
        <v>1.9179999999999999</v>
      </c>
      <c r="N51" s="1">
        <v>6</v>
      </c>
      <c r="O51" s="1">
        <v>54</v>
      </c>
      <c r="P51" s="1">
        <v>559</v>
      </c>
      <c r="Q51" s="1">
        <v>10.352</v>
      </c>
      <c r="R51" s="1">
        <v>2.383</v>
      </c>
      <c r="S51" s="1">
        <v>255</v>
      </c>
    </row>
    <row r="52" spans="7:19" x14ac:dyDescent="0.25">
      <c r="G52">
        <v>46</v>
      </c>
      <c r="H52" s="1">
        <v>2.383</v>
      </c>
      <c r="N52" s="1">
        <v>7</v>
      </c>
      <c r="O52" s="1">
        <v>57</v>
      </c>
      <c r="P52" s="1">
        <v>712</v>
      </c>
      <c r="Q52" s="1">
        <v>12.491</v>
      </c>
      <c r="R52" s="1">
        <v>3.0350000000000001</v>
      </c>
      <c r="S52" s="1">
        <v>255</v>
      </c>
    </row>
    <row r="53" spans="7:19" x14ac:dyDescent="0.25">
      <c r="G53">
        <v>47</v>
      </c>
      <c r="H53" s="1">
        <v>3.0350000000000001</v>
      </c>
      <c r="N53" s="1">
        <v>8</v>
      </c>
      <c r="O53" s="1">
        <v>43</v>
      </c>
      <c r="P53" s="1">
        <v>369</v>
      </c>
      <c r="Q53" s="1">
        <v>8.5809999999999995</v>
      </c>
      <c r="R53" s="1">
        <v>1.573</v>
      </c>
      <c r="S53" s="1">
        <v>255</v>
      </c>
    </row>
    <row r="54" spans="7:19" x14ac:dyDescent="0.25">
      <c r="G54">
        <v>48</v>
      </c>
      <c r="H54" s="1">
        <v>1.573</v>
      </c>
      <c r="N54" s="1">
        <v>9</v>
      </c>
      <c r="O54" s="1">
        <v>49</v>
      </c>
      <c r="P54" s="1">
        <v>415</v>
      </c>
      <c r="Q54" s="1">
        <v>8.4689999999999994</v>
      </c>
      <c r="R54" s="1">
        <v>1.7689999999999999</v>
      </c>
      <c r="S54" s="1">
        <v>255</v>
      </c>
    </row>
    <row r="55" spans="7:19" x14ac:dyDescent="0.25">
      <c r="G55">
        <v>49</v>
      </c>
      <c r="H55" s="1">
        <v>1.7689999999999999</v>
      </c>
      <c r="N55" s="1">
        <v>10</v>
      </c>
      <c r="O55" s="1">
        <v>54</v>
      </c>
      <c r="P55" s="1">
        <v>677</v>
      </c>
      <c r="Q55" s="1">
        <v>12.537000000000001</v>
      </c>
      <c r="R55" s="1">
        <v>2.8860000000000001</v>
      </c>
      <c r="S55" s="1">
        <v>255</v>
      </c>
    </row>
    <row r="56" spans="7:19" x14ac:dyDescent="0.25">
      <c r="G56">
        <v>50</v>
      </c>
      <c r="H56" s="1">
        <v>2.8860000000000001</v>
      </c>
      <c r="N56" s="1">
        <v>11</v>
      </c>
      <c r="O56" s="1">
        <v>71</v>
      </c>
      <c r="P56" s="1">
        <v>823</v>
      </c>
      <c r="Q56" s="1">
        <v>11.592000000000001</v>
      </c>
      <c r="R56" s="1">
        <v>3.508</v>
      </c>
      <c r="S56" s="1">
        <v>255</v>
      </c>
    </row>
    <row r="57" spans="7:19" x14ac:dyDescent="0.25">
      <c r="G57">
        <v>51</v>
      </c>
      <c r="H57" s="1">
        <v>3.508</v>
      </c>
      <c r="N57" s="1">
        <v>12</v>
      </c>
      <c r="O57" s="1">
        <v>62</v>
      </c>
      <c r="P57" s="1">
        <v>408</v>
      </c>
      <c r="Q57" s="1">
        <v>6.5810000000000004</v>
      </c>
      <c r="R57" s="1">
        <v>1.7390000000000001</v>
      </c>
      <c r="S57" s="1">
        <v>255</v>
      </c>
    </row>
    <row r="58" spans="7:19" x14ac:dyDescent="0.25">
      <c r="G58">
        <v>52</v>
      </c>
      <c r="H58" s="1">
        <v>1.7390000000000001</v>
      </c>
      <c r="N58" s="1">
        <v>13</v>
      </c>
      <c r="O58" s="1">
        <v>54</v>
      </c>
      <c r="P58" s="1">
        <v>530</v>
      </c>
      <c r="Q58" s="1">
        <v>9.8149999999999995</v>
      </c>
      <c r="R58" s="1">
        <v>2.2589999999999999</v>
      </c>
      <c r="S58" s="1">
        <v>255</v>
      </c>
    </row>
    <row r="59" spans="7:19" x14ac:dyDescent="0.25">
      <c r="G59">
        <v>53</v>
      </c>
      <c r="H59" s="1">
        <v>2.2589999999999999</v>
      </c>
      <c r="N59" s="1">
        <v>14</v>
      </c>
      <c r="O59" s="1">
        <v>58</v>
      </c>
      <c r="P59" s="1">
        <v>442</v>
      </c>
      <c r="Q59" s="1">
        <v>7.6210000000000004</v>
      </c>
      <c r="R59" s="1">
        <v>1.8839999999999999</v>
      </c>
      <c r="S59" s="1">
        <v>255</v>
      </c>
    </row>
    <row r="60" spans="7:19" x14ac:dyDescent="0.25">
      <c r="G60">
        <v>54</v>
      </c>
      <c r="H60" s="1">
        <v>1.8839999999999999</v>
      </c>
      <c r="N60" s="1">
        <v>15</v>
      </c>
      <c r="O60" s="1">
        <v>44</v>
      </c>
      <c r="P60" s="1">
        <v>518</v>
      </c>
      <c r="Q60" s="1">
        <v>11.773</v>
      </c>
      <c r="R60" s="1">
        <v>2.2080000000000002</v>
      </c>
      <c r="S60" s="1">
        <v>255</v>
      </c>
    </row>
    <row r="61" spans="7:19" x14ac:dyDescent="0.25">
      <c r="G61">
        <v>55</v>
      </c>
      <c r="H61" s="1">
        <v>2.2080000000000002</v>
      </c>
      <c r="N61" s="1">
        <v>16</v>
      </c>
      <c r="O61" s="1">
        <v>42</v>
      </c>
      <c r="P61" s="1">
        <v>430</v>
      </c>
      <c r="Q61" s="1">
        <v>10.238</v>
      </c>
      <c r="R61" s="1">
        <v>1.833</v>
      </c>
      <c r="S61" s="1">
        <v>255</v>
      </c>
    </row>
    <row r="62" spans="7:19" x14ac:dyDescent="0.25">
      <c r="G62">
        <v>56</v>
      </c>
      <c r="H62" s="1">
        <v>1.833</v>
      </c>
      <c r="N62" s="1">
        <v>17</v>
      </c>
      <c r="O62" s="1">
        <v>49</v>
      </c>
      <c r="P62" s="1">
        <v>468</v>
      </c>
      <c r="Q62" s="1">
        <v>9.5510000000000002</v>
      </c>
      <c r="R62" s="1">
        <v>1.9950000000000001</v>
      </c>
      <c r="S62" s="1">
        <v>255</v>
      </c>
    </row>
    <row r="63" spans="7:19" x14ac:dyDescent="0.25">
      <c r="G63">
        <v>57</v>
      </c>
      <c r="H63" s="1">
        <v>1.9950000000000001</v>
      </c>
      <c r="N63" s="1">
        <v>18</v>
      </c>
      <c r="O63" s="1">
        <v>75</v>
      </c>
      <c r="P63" s="1">
        <v>572</v>
      </c>
      <c r="Q63" s="1">
        <v>7.6269999999999998</v>
      </c>
      <c r="R63" s="1">
        <v>2.4380000000000002</v>
      </c>
      <c r="S63" s="1">
        <v>255</v>
      </c>
    </row>
    <row r="64" spans="7:19" x14ac:dyDescent="0.25">
      <c r="G64">
        <v>58</v>
      </c>
      <c r="H64" s="1">
        <v>2.4380000000000002</v>
      </c>
      <c r="N64" s="1">
        <v>19</v>
      </c>
      <c r="O64" s="1">
        <v>43</v>
      </c>
      <c r="P64" s="1">
        <v>435</v>
      </c>
      <c r="Q64" s="1">
        <v>10.116</v>
      </c>
      <c r="R64" s="1">
        <v>1.8540000000000001</v>
      </c>
      <c r="S64" s="1">
        <v>255</v>
      </c>
    </row>
    <row r="65" spans="7:19" x14ac:dyDescent="0.25">
      <c r="G65">
        <v>59</v>
      </c>
      <c r="H65" s="1">
        <v>1.8540000000000001</v>
      </c>
      <c r="N65" s="1">
        <v>20</v>
      </c>
      <c r="O65" s="1">
        <v>50</v>
      </c>
      <c r="P65" s="1">
        <v>373</v>
      </c>
      <c r="Q65" s="1">
        <v>7.46</v>
      </c>
      <c r="R65" s="1">
        <v>1.59</v>
      </c>
      <c r="S65" s="1">
        <v>255</v>
      </c>
    </row>
    <row r="66" spans="7:19" x14ac:dyDescent="0.25">
      <c r="G66">
        <v>60</v>
      </c>
      <c r="H66" s="1">
        <v>1.59</v>
      </c>
    </row>
  </sheetData>
  <mergeCells count="1">
    <mergeCell ref="B1:C1"/>
  </mergeCells>
  <pageMargins left="0.7" right="0.7" top="0.75" bottom="0.75" header="0.3" footer="0.3"/>
  <pageSetup orientation="portrait" r:id="rId1"/>
  <drawing r:id="rId2"/>
  <tableParts count="2">
    <tablePart r:id="rId3"/>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A0FD5-740C-8E41-A331-97600EF1CA98}">
  <sheetPr codeName="Sheet20">
    <tabColor theme="7" tint="0.39997558519241921"/>
  </sheetPr>
  <dimension ref="B1:S66"/>
  <sheetViews>
    <sheetView topLeftCell="A3" zoomScaleNormal="100" workbookViewId="0">
      <selection activeCell="C6" sqref="C6"/>
    </sheetView>
  </sheetViews>
  <sheetFormatPr defaultColWidth="9.140625" defaultRowHeight="15" x14ac:dyDescent="0.25"/>
  <cols>
    <col min="1" max="1" width="3" style="1" customWidth="1"/>
    <col min="2" max="2" width="46" style="1" customWidth="1"/>
    <col min="3" max="3" width="27.140625" style="1" customWidth="1"/>
    <col min="4" max="5" width="3" style="1" customWidth="1"/>
    <col min="6" max="6" width="9.140625" style="1"/>
    <col min="7" max="7" width="36.28515625" style="1" bestFit="1" customWidth="1"/>
    <col min="8" max="8" width="14.85546875" style="1" bestFit="1" customWidth="1"/>
    <col min="9" max="9" width="9.140625" style="1"/>
    <col min="10" max="10" width="23" style="1" customWidth="1"/>
    <col min="11" max="16384" width="9.140625" style="1"/>
  </cols>
  <sheetData>
    <row r="1" spans="2:19" ht="23.25" x14ac:dyDescent="0.25">
      <c r="B1" s="18" t="s">
        <v>28</v>
      </c>
      <c r="C1" s="18"/>
    </row>
    <row r="2" spans="2:19" ht="20.25" thickBot="1" x14ac:dyDescent="0.35">
      <c r="B2" s="8" t="s">
        <v>20</v>
      </c>
    </row>
    <row r="3" spans="2:19" ht="45.75" customHeight="1" thickTop="1" x14ac:dyDescent="0.25">
      <c r="B3" s="5" t="s">
        <v>22</v>
      </c>
    </row>
    <row r="4" spans="2:19" x14ac:dyDescent="0.25">
      <c r="B4" s="5"/>
    </row>
    <row r="5" spans="2:19" x14ac:dyDescent="0.25">
      <c r="B5" t="s">
        <v>16</v>
      </c>
      <c r="C5" s="12" t="s">
        <v>75</v>
      </c>
      <c r="G5" t="s">
        <v>14</v>
      </c>
      <c r="H5" t="s">
        <v>15</v>
      </c>
    </row>
    <row r="6" spans="2:19" x14ac:dyDescent="0.25">
      <c r="B6" t="s">
        <v>17</v>
      </c>
      <c r="C6" s="2" t="s">
        <v>21</v>
      </c>
      <c r="G6" t="s">
        <v>11</v>
      </c>
      <c r="H6" t="s">
        <v>13</v>
      </c>
      <c r="J6" t="s">
        <v>58</v>
      </c>
      <c r="K6">
        <f>MAX(G7:G36)</f>
        <v>30</v>
      </c>
      <c r="N6" s="1">
        <v>1</v>
      </c>
      <c r="O6" s="1">
        <v>75</v>
      </c>
      <c r="P6" s="1">
        <v>169</v>
      </c>
      <c r="Q6" s="1">
        <v>2.2530000000000001</v>
      </c>
      <c r="R6" s="1">
        <v>4.4000000000000004</v>
      </c>
      <c r="S6" s="1">
        <v>255</v>
      </c>
    </row>
    <row r="7" spans="2:19" x14ac:dyDescent="0.25">
      <c r="B7" t="s">
        <v>18</v>
      </c>
      <c r="C7" s="6">
        <f ca="1">TODAY()</f>
        <v>45321</v>
      </c>
      <c r="G7">
        <v>1</v>
      </c>
      <c r="H7" s="1">
        <v>4.4000000000000004</v>
      </c>
      <c r="J7" t="s">
        <v>59</v>
      </c>
      <c r="K7">
        <f>VLOOKUP(K6,confidence_95_multiplier122022242830323642[#All],2,FALSE)</f>
        <v>2.0449999999999999</v>
      </c>
      <c r="N7" s="1">
        <v>2</v>
      </c>
      <c r="O7" s="1">
        <v>77</v>
      </c>
      <c r="P7" s="1">
        <v>128</v>
      </c>
      <c r="Q7" s="1">
        <v>1.6619999999999999</v>
      </c>
      <c r="R7" s="1">
        <v>3.3319999999999999</v>
      </c>
      <c r="S7" s="1">
        <v>255</v>
      </c>
    </row>
    <row r="8" spans="2:19" x14ac:dyDescent="0.25">
      <c r="G8">
        <v>2</v>
      </c>
      <c r="H8" s="1">
        <v>3.3319999999999999</v>
      </c>
      <c r="J8" t="s">
        <v>60</v>
      </c>
      <c r="K8">
        <f>AVERAGE(porosity_readings111921232729313541[x_i])</f>
        <v>4.6817000000000002</v>
      </c>
      <c r="N8" s="1">
        <v>3</v>
      </c>
      <c r="O8" s="1">
        <v>64</v>
      </c>
      <c r="P8" s="1">
        <v>151</v>
      </c>
      <c r="Q8" s="1">
        <v>2.359</v>
      </c>
      <c r="R8" s="1">
        <v>3.931</v>
      </c>
      <c r="S8" s="1">
        <v>255</v>
      </c>
    </row>
    <row r="9" spans="2:19" x14ac:dyDescent="0.25">
      <c r="B9" t="s">
        <v>55</v>
      </c>
      <c r="C9" s="3">
        <v>1000</v>
      </c>
      <c r="G9">
        <v>3</v>
      </c>
      <c r="H9" s="1">
        <v>3.931</v>
      </c>
      <c r="J9" t="s">
        <v>61</v>
      </c>
      <c r="K9">
        <f>_xlfn.STDEV.S(porosity_readings111921232729313541[x_i])</f>
        <v>1.7611804064711616</v>
      </c>
      <c r="N9" s="1">
        <v>4</v>
      </c>
      <c r="O9" s="1">
        <v>68</v>
      </c>
      <c r="P9" s="1">
        <v>131</v>
      </c>
      <c r="Q9" s="1">
        <v>1.9259999999999999</v>
      </c>
      <c r="R9" s="1">
        <v>3.411</v>
      </c>
      <c r="S9" s="1">
        <v>255</v>
      </c>
    </row>
    <row r="10" spans="2:19" x14ac:dyDescent="0.25">
      <c r="B10" t="s">
        <v>26</v>
      </c>
      <c r="C10" s="11">
        <f>'HIP_SHVOF_0250X (with cracks)'!K8</f>
        <v>4.6817000000000002</v>
      </c>
      <c r="G10">
        <v>4</v>
      </c>
      <c r="H10" s="1">
        <v>3.411</v>
      </c>
      <c r="J10" t="s">
        <v>62</v>
      </c>
      <c r="K10" s="7">
        <f>K9*K7/(SQRT(K6))</f>
        <v>0.657561731187154</v>
      </c>
      <c r="N10" s="1">
        <v>5</v>
      </c>
      <c r="O10" s="1">
        <v>62</v>
      </c>
      <c r="P10" s="1">
        <v>132</v>
      </c>
      <c r="Q10" s="1">
        <v>2.129</v>
      </c>
      <c r="R10" s="1">
        <v>3.4369999999999998</v>
      </c>
      <c r="S10" s="1">
        <v>255</v>
      </c>
    </row>
    <row r="11" spans="2:19" x14ac:dyDescent="0.25">
      <c r="B11" t="s">
        <v>25</v>
      </c>
      <c r="C11" s="9">
        <f>'HIP_SHVOF_0250X (with cracks)'!K12</f>
        <v>2.4470000000000001</v>
      </c>
      <c r="G11">
        <v>5</v>
      </c>
      <c r="H11" s="1">
        <v>3.4369999999999998</v>
      </c>
      <c r="J11" t="s">
        <v>63</v>
      </c>
      <c r="K11" s="7">
        <f>K10/K8</f>
        <v>0.14045362393727789</v>
      </c>
      <c r="N11" s="1">
        <v>6</v>
      </c>
      <c r="O11" s="1">
        <v>60</v>
      </c>
      <c r="P11" s="1">
        <v>111</v>
      </c>
      <c r="Q11" s="1">
        <v>1.85</v>
      </c>
      <c r="R11" s="1">
        <v>2.89</v>
      </c>
      <c r="S11" s="1">
        <v>255</v>
      </c>
    </row>
    <row r="12" spans="2:19" x14ac:dyDescent="0.25">
      <c r="B12" t="s">
        <v>24</v>
      </c>
      <c r="C12" s="9">
        <f>'HIP_SHVOF_0250X (with cracks)'!K13</f>
        <v>8.5619999999999994</v>
      </c>
      <c r="G12">
        <v>6</v>
      </c>
      <c r="H12" s="1">
        <v>2.89</v>
      </c>
      <c r="J12" t="s">
        <v>64</v>
      </c>
      <c r="K12">
        <f>MIN(porosity_readings111921232729313541[x_i])</f>
        <v>2.4470000000000001</v>
      </c>
      <c r="N12" s="1">
        <v>7</v>
      </c>
      <c r="O12" s="1">
        <v>75</v>
      </c>
      <c r="P12" s="1">
        <v>192</v>
      </c>
      <c r="Q12" s="1">
        <v>2.56</v>
      </c>
      <c r="R12" s="1">
        <v>4.9989999999999997</v>
      </c>
      <c r="S12" s="1">
        <v>255</v>
      </c>
    </row>
    <row r="13" spans="2:19" x14ac:dyDescent="0.25">
      <c r="B13" t="s">
        <v>12</v>
      </c>
      <c r="C13" s="11">
        <f>'HIP_SHVOF_0250X (with cracks)'!K9</f>
        <v>1.7611804064711616</v>
      </c>
      <c r="G13">
        <v>7</v>
      </c>
      <c r="H13" s="1">
        <v>4.9989999999999997</v>
      </c>
      <c r="J13" t="s">
        <v>65</v>
      </c>
      <c r="K13">
        <f>MAX(porosity_readings111921232729313541[x_i])</f>
        <v>8.5619999999999994</v>
      </c>
      <c r="N13" s="1">
        <v>8</v>
      </c>
      <c r="O13" s="1">
        <v>57</v>
      </c>
      <c r="P13" s="1">
        <v>94</v>
      </c>
      <c r="Q13" s="1">
        <v>1.649</v>
      </c>
      <c r="R13" s="1">
        <v>2.4470000000000001</v>
      </c>
      <c r="S13" s="1">
        <v>255</v>
      </c>
    </row>
    <row r="14" spans="2:19" x14ac:dyDescent="0.25">
      <c r="B14" t="s">
        <v>19</v>
      </c>
      <c r="C14" s="10">
        <f>'HIP_SHVOF_0250X (with cracks)'!K10</f>
        <v>0.657561731187154</v>
      </c>
      <c r="G14">
        <v>8</v>
      </c>
      <c r="H14" s="1">
        <v>2.4470000000000001</v>
      </c>
      <c r="N14" s="1">
        <v>9</v>
      </c>
      <c r="O14" s="1">
        <v>62</v>
      </c>
      <c r="P14" s="1">
        <v>117</v>
      </c>
      <c r="Q14" s="1">
        <v>1.887</v>
      </c>
      <c r="R14" s="1">
        <v>3.0459999999999998</v>
      </c>
      <c r="S14" s="1">
        <v>255</v>
      </c>
    </row>
    <row r="15" spans="2:19" x14ac:dyDescent="0.25">
      <c r="B15" t="s">
        <v>27</v>
      </c>
      <c r="C15" s="14">
        <f>'HIP_SHVOF_0250X (with cracks)'!K11</f>
        <v>0.14045362393727789</v>
      </c>
      <c r="G15">
        <v>9</v>
      </c>
      <c r="H15" s="1">
        <v>3.0459999999999998</v>
      </c>
      <c r="J15" t="s">
        <v>5</v>
      </c>
      <c r="K15"/>
      <c r="N15" s="1">
        <v>10</v>
      </c>
      <c r="O15" s="1">
        <v>60</v>
      </c>
      <c r="P15" s="1">
        <v>113</v>
      </c>
      <c r="Q15" s="1">
        <v>1.883</v>
      </c>
      <c r="R15" s="1">
        <v>2.9420000000000002</v>
      </c>
      <c r="S15" s="1">
        <v>255</v>
      </c>
    </row>
    <row r="16" spans="2:19" x14ac:dyDescent="0.25">
      <c r="B16" t="s">
        <v>23</v>
      </c>
      <c r="C16" s="2">
        <f>'HIP_SHVOF_0250X (with cracks)'!K6</f>
        <v>30</v>
      </c>
      <c r="G16">
        <v>10</v>
      </c>
      <c r="H16" s="1">
        <v>2.9420000000000002</v>
      </c>
      <c r="J16" t="s">
        <v>3</v>
      </c>
      <c r="K16" t="s">
        <v>4</v>
      </c>
      <c r="N16" s="1">
        <v>11</v>
      </c>
      <c r="O16" s="1">
        <v>77</v>
      </c>
      <c r="P16" s="1">
        <v>166</v>
      </c>
      <c r="Q16" s="1">
        <v>2.1560000000000001</v>
      </c>
      <c r="R16" s="1">
        <v>4.3220000000000001</v>
      </c>
      <c r="S16" s="1">
        <v>255</v>
      </c>
    </row>
    <row r="17" spans="2:19" x14ac:dyDescent="0.25">
      <c r="G17">
        <v>11</v>
      </c>
      <c r="H17" s="1">
        <v>4.3220000000000001</v>
      </c>
      <c r="J17">
        <v>20</v>
      </c>
      <c r="K17">
        <v>2.093</v>
      </c>
      <c r="N17" s="1">
        <v>12</v>
      </c>
      <c r="O17" s="1">
        <v>71</v>
      </c>
      <c r="P17" s="1">
        <v>157</v>
      </c>
      <c r="Q17" s="1">
        <v>2.2109999999999999</v>
      </c>
      <c r="R17" s="1">
        <v>4.0869999999999997</v>
      </c>
      <c r="S17" s="1">
        <v>255</v>
      </c>
    </row>
    <row r="18" spans="2:19" x14ac:dyDescent="0.25">
      <c r="B18" s="1" t="s">
        <v>66</v>
      </c>
      <c r="C18" s="3">
        <v>0</v>
      </c>
      <c r="G18">
        <v>12</v>
      </c>
      <c r="H18" s="1">
        <v>4.0869999999999997</v>
      </c>
      <c r="J18">
        <v>21</v>
      </c>
      <c r="K18">
        <v>2.0859999999999999</v>
      </c>
      <c r="N18" s="1">
        <v>13</v>
      </c>
      <c r="O18" s="1">
        <v>78</v>
      </c>
      <c r="P18" s="1">
        <v>119</v>
      </c>
      <c r="Q18" s="1">
        <v>1.526</v>
      </c>
      <c r="R18" s="1">
        <v>3.0979999999999999</v>
      </c>
      <c r="S18" s="1">
        <v>255</v>
      </c>
    </row>
    <row r="19" spans="2:19" x14ac:dyDescent="0.25">
      <c r="B19" s="1" t="s">
        <v>53</v>
      </c>
      <c r="C19" s="2">
        <v>0</v>
      </c>
      <c r="G19">
        <v>13</v>
      </c>
      <c r="H19" s="1">
        <v>3.0979999999999999</v>
      </c>
      <c r="J19">
        <v>22</v>
      </c>
      <c r="K19">
        <v>2.08</v>
      </c>
      <c r="N19" s="1">
        <v>14</v>
      </c>
      <c r="O19" s="1">
        <v>49</v>
      </c>
      <c r="P19" s="1">
        <v>94</v>
      </c>
      <c r="Q19" s="1">
        <v>1.9179999999999999</v>
      </c>
      <c r="R19" s="1">
        <v>2.4470000000000001</v>
      </c>
      <c r="S19" s="1">
        <v>255</v>
      </c>
    </row>
    <row r="20" spans="2:19" x14ac:dyDescent="0.25">
      <c r="B20" s="1" t="s">
        <v>54</v>
      </c>
      <c r="C20" s="2">
        <v>73</v>
      </c>
      <c r="G20">
        <v>14</v>
      </c>
      <c r="H20" s="1">
        <v>2.4470000000000001</v>
      </c>
      <c r="J20">
        <v>23</v>
      </c>
      <c r="K20">
        <v>2.0739999999999998</v>
      </c>
      <c r="N20" s="1">
        <v>15</v>
      </c>
      <c r="O20" s="1">
        <v>71</v>
      </c>
      <c r="P20" s="1">
        <v>199</v>
      </c>
      <c r="Q20" s="1">
        <v>2.8029999999999999</v>
      </c>
      <c r="R20" s="1">
        <v>5.181</v>
      </c>
      <c r="S20" s="1">
        <v>255</v>
      </c>
    </row>
    <row r="21" spans="2:19" x14ac:dyDescent="0.25">
      <c r="G21">
        <v>15</v>
      </c>
      <c r="H21" s="1">
        <v>5.181</v>
      </c>
      <c r="J21">
        <v>24</v>
      </c>
      <c r="K21">
        <v>2.069</v>
      </c>
      <c r="N21" s="1">
        <v>1</v>
      </c>
      <c r="O21" s="1">
        <v>198</v>
      </c>
      <c r="P21" s="1">
        <v>782</v>
      </c>
      <c r="Q21" s="1">
        <v>3.9489999999999998</v>
      </c>
      <c r="R21" s="1">
        <v>8.5190000000000001</v>
      </c>
      <c r="S21" s="1">
        <v>255</v>
      </c>
    </row>
    <row r="22" spans="2:19" x14ac:dyDescent="0.25">
      <c r="G22">
        <v>16</v>
      </c>
      <c r="H22" s="1">
        <v>8.5190000000000001</v>
      </c>
      <c r="J22">
        <v>25</v>
      </c>
      <c r="K22">
        <v>2.0640000000000001</v>
      </c>
      <c r="N22" s="1">
        <v>2</v>
      </c>
      <c r="O22" s="1">
        <v>152</v>
      </c>
      <c r="P22" s="1">
        <v>314</v>
      </c>
      <c r="Q22" s="1">
        <v>2.0659999999999998</v>
      </c>
      <c r="R22" s="1">
        <v>3.42</v>
      </c>
      <c r="S22" s="1">
        <v>255</v>
      </c>
    </row>
    <row r="23" spans="2:19" x14ac:dyDescent="0.25">
      <c r="C23" s="4"/>
      <c r="G23">
        <v>17</v>
      </c>
      <c r="H23" s="1">
        <v>3.42</v>
      </c>
      <c r="J23">
        <v>26</v>
      </c>
      <c r="K23">
        <v>2.06</v>
      </c>
      <c r="N23" s="1">
        <v>3</v>
      </c>
      <c r="O23" s="1">
        <v>170</v>
      </c>
      <c r="P23" s="1">
        <v>786</v>
      </c>
      <c r="Q23" s="1">
        <v>4.6239999999999997</v>
      </c>
      <c r="R23" s="1">
        <v>8.5619999999999994</v>
      </c>
      <c r="S23" s="1">
        <v>255</v>
      </c>
    </row>
    <row r="24" spans="2:19" x14ac:dyDescent="0.25">
      <c r="G24">
        <v>18</v>
      </c>
      <c r="H24" s="1">
        <v>8.5619999999999994</v>
      </c>
      <c r="J24">
        <v>27</v>
      </c>
      <c r="K24">
        <v>2.056</v>
      </c>
      <c r="N24" s="1">
        <v>4</v>
      </c>
      <c r="O24" s="1">
        <v>168</v>
      </c>
      <c r="P24" s="1">
        <v>488</v>
      </c>
      <c r="Q24" s="1">
        <v>2.9049999999999998</v>
      </c>
      <c r="R24" s="1">
        <v>5.3159999999999998</v>
      </c>
      <c r="S24" s="1">
        <v>255</v>
      </c>
    </row>
    <row r="25" spans="2:19" x14ac:dyDescent="0.25">
      <c r="G25">
        <v>19</v>
      </c>
      <c r="H25" s="1">
        <v>5.3159999999999998</v>
      </c>
      <c r="J25">
        <v>28</v>
      </c>
      <c r="K25">
        <v>2.052</v>
      </c>
      <c r="N25" s="1">
        <v>5</v>
      </c>
      <c r="O25" s="1">
        <v>146</v>
      </c>
      <c r="P25" s="1">
        <v>526</v>
      </c>
      <c r="Q25" s="1">
        <v>3.6030000000000002</v>
      </c>
      <c r="R25" s="1">
        <v>5.73</v>
      </c>
      <c r="S25" s="1">
        <v>255</v>
      </c>
    </row>
    <row r="26" spans="2:19" x14ac:dyDescent="0.25">
      <c r="G26">
        <v>20</v>
      </c>
      <c r="H26" s="1">
        <v>5.73</v>
      </c>
      <c r="J26">
        <v>29</v>
      </c>
      <c r="K26">
        <v>2.048</v>
      </c>
      <c r="N26" s="1">
        <v>6</v>
      </c>
      <c r="O26" s="1">
        <v>181</v>
      </c>
      <c r="P26" s="1">
        <v>618</v>
      </c>
      <c r="Q26" s="1">
        <v>3.4140000000000001</v>
      </c>
      <c r="R26" s="1">
        <v>6.7320000000000002</v>
      </c>
      <c r="S26" s="1">
        <v>255</v>
      </c>
    </row>
    <row r="27" spans="2:19" x14ac:dyDescent="0.25">
      <c r="G27">
        <v>21</v>
      </c>
      <c r="H27" s="1">
        <v>6.7320000000000002</v>
      </c>
      <c r="J27">
        <v>30</v>
      </c>
      <c r="K27">
        <v>2.0449999999999999</v>
      </c>
      <c r="N27" s="1">
        <v>7</v>
      </c>
      <c r="O27" s="1">
        <v>155</v>
      </c>
      <c r="P27" s="1">
        <v>271</v>
      </c>
      <c r="Q27" s="1">
        <v>1.748</v>
      </c>
      <c r="R27" s="1">
        <v>2.952</v>
      </c>
      <c r="S27" s="1">
        <v>255</v>
      </c>
    </row>
    <row r="28" spans="2:19" x14ac:dyDescent="0.25">
      <c r="G28">
        <v>22</v>
      </c>
      <c r="H28" s="1">
        <v>2.952</v>
      </c>
      <c r="J28">
        <v>40</v>
      </c>
      <c r="K28">
        <v>2.02</v>
      </c>
      <c r="N28" s="1">
        <v>8</v>
      </c>
      <c r="O28" s="1">
        <v>145</v>
      </c>
      <c r="P28" s="1">
        <v>661</v>
      </c>
      <c r="Q28" s="1">
        <v>4.5590000000000002</v>
      </c>
      <c r="R28" s="1">
        <v>7.2</v>
      </c>
      <c r="S28" s="1">
        <v>255</v>
      </c>
    </row>
    <row r="29" spans="2:19" x14ac:dyDescent="0.25">
      <c r="G29">
        <v>23</v>
      </c>
      <c r="H29" s="1">
        <v>7.2</v>
      </c>
      <c r="J29">
        <v>60</v>
      </c>
      <c r="K29">
        <v>2</v>
      </c>
      <c r="N29" s="1">
        <v>9</v>
      </c>
      <c r="O29" s="1">
        <v>152</v>
      </c>
      <c r="P29" s="1">
        <v>368</v>
      </c>
      <c r="Q29" s="1">
        <v>2.4209999999999998</v>
      </c>
      <c r="R29" s="1">
        <v>4.0090000000000003</v>
      </c>
      <c r="S29" s="1">
        <v>255</v>
      </c>
    </row>
    <row r="30" spans="2:19" x14ac:dyDescent="0.25">
      <c r="G30">
        <v>24</v>
      </c>
      <c r="H30" s="1">
        <v>4.0090000000000003</v>
      </c>
      <c r="N30" s="1">
        <v>10</v>
      </c>
      <c r="O30" s="1">
        <v>153</v>
      </c>
      <c r="P30" s="1">
        <v>440</v>
      </c>
      <c r="Q30" s="1">
        <v>2.8759999999999999</v>
      </c>
      <c r="R30" s="1">
        <v>4.7930000000000001</v>
      </c>
      <c r="S30" s="1">
        <v>255</v>
      </c>
    </row>
    <row r="31" spans="2:19" x14ac:dyDescent="0.25">
      <c r="G31">
        <v>25</v>
      </c>
      <c r="H31" s="1">
        <v>4.7930000000000001</v>
      </c>
      <c r="N31" s="1">
        <v>11</v>
      </c>
      <c r="O31" s="1">
        <v>149</v>
      </c>
      <c r="P31" s="1">
        <v>604</v>
      </c>
      <c r="Q31" s="1">
        <v>4.0540000000000003</v>
      </c>
      <c r="R31" s="1">
        <v>6.58</v>
      </c>
      <c r="S31" s="1">
        <v>255</v>
      </c>
    </row>
    <row r="32" spans="2:19" x14ac:dyDescent="0.25">
      <c r="G32">
        <v>26</v>
      </c>
      <c r="H32" s="1">
        <v>6.58</v>
      </c>
      <c r="N32" s="1">
        <v>12</v>
      </c>
      <c r="O32" s="1">
        <v>182</v>
      </c>
      <c r="P32" s="1">
        <v>721</v>
      </c>
      <c r="Q32" s="1">
        <v>3.9620000000000002</v>
      </c>
      <c r="R32" s="1">
        <v>7.8540000000000001</v>
      </c>
      <c r="S32" s="1">
        <v>255</v>
      </c>
    </row>
    <row r="33" spans="7:19" x14ac:dyDescent="0.25">
      <c r="G33">
        <v>27</v>
      </c>
      <c r="H33" s="1">
        <v>7.8540000000000001</v>
      </c>
      <c r="N33" s="1">
        <v>13</v>
      </c>
      <c r="O33" s="1">
        <v>173</v>
      </c>
      <c r="P33" s="1">
        <v>448</v>
      </c>
      <c r="Q33" s="1">
        <v>2.59</v>
      </c>
      <c r="R33" s="1">
        <v>4.88</v>
      </c>
      <c r="S33" s="1">
        <v>255</v>
      </c>
    </row>
    <row r="34" spans="7:19" x14ac:dyDescent="0.25">
      <c r="G34">
        <v>28</v>
      </c>
      <c r="H34" s="1">
        <v>4.88</v>
      </c>
      <c r="N34" s="1">
        <v>14</v>
      </c>
      <c r="O34" s="1">
        <v>146</v>
      </c>
      <c r="P34" s="1">
        <v>381</v>
      </c>
      <c r="Q34" s="1">
        <v>2.61</v>
      </c>
      <c r="R34" s="1">
        <v>4.1500000000000004</v>
      </c>
      <c r="S34" s="1">
        <v>255</v>
      </c>
    </row>
    <row r="35" spans="7:19" x14ac:dyDescent="0.25">
      <c r="G35">
        <v>29</v>
      </c>
      <c r="H35" s="1">
        <v>4.1500000000000004</v>
      </c>
      <c r="N35" s="1">
        <v>15</v>
      </c>
      <c r="O35" s="1">
        <v>150</v>
      </c>
      <c r="P35" s="1">
        <v>531</v>
      </c>
      <c r="Q35" s="1">
        <v>3.54</v>
      </c>
      <c r="R35" s="1">
        <v>5.7839999999999998</v>
      </c>
      <c r="S35" s="1">
        <v>255</v>
      </c>
    </row>
    <row r="36" spans="7:19" x14ac:dyDescent="0.25">
      <c r="G36">
        <v>30</v>
      </c>
      <c r="H36" s="1">
        <v>5.7839999999999998</v>
      </c>
    </row>
    <row r="37" spans="7:19" x14ac:dyDescent="0.25">
      <c r="G37"/>
    </row>
    <row r="38" spans="7:19" x14ac:dyDescent="0.25">
      <c r="G38"/>
    </row>
    <row r="39" spans="7:19" x14ac:dyDescent="0.25">
      <c r="G39"/>
    </row>
    <row r="40" spans="7:19" x14ac:dyDescent="0.25">
      <c r="G40"/>
    </row>
    <row r="41" spans="7:19" x14ac:dyDescent="0.25">
      <c r="G41"/>
    </row>
    <row r="42" spans="7:19" x14ac:dyDescent="0.25">
      <c r="G42"/>
    </row>
    <row r="43" spans="7:19" x14ac:dyDescent="0.25">
      <c r="G43"/>
    </row>
    <row r="44" spans="7:19" x14ac:dyDescent="0.25">
      <c r="G44"/>
    </row>
    <row r="45" spans="7:19" x14ac:dyDescent="0.25">
      <c r="G45"/>
    </row>
    <row r="46" spans="7:19" x14ac:dyDescent="0.25">
      <c r="G46"/>
    </row>
    <row r="47" spans="7:19" x14ac:dyDescent="0.25">
      <c r="G47"/>
    </row>
    <row r="48" spans="7:19" x14ac:dyDescent="0.25">
      <c r="G48"/>
    </row>
    <row r="49" spans="7:7" x14ac:dyDescent="0.25">
      <c r="G49"/>
    </row>
    <row r="50" spans="7:7" x14ac:dyDescent="0.25">
      <c r="G50"/>
    </row>
    <row r="51" spans="7:7" x14ac:dyDescent="0.25">
      <c r="G51"/>
    </row>
    <row r="52" spans="7:7" x14ac:dyDescent="0.25">
      <c r="G52"/>
    </row>
    <row r="53" spans="7:7" x14ac:dyDescent="0.25">
      <c r="G53"/>
    </row>
    <row r="54" spans="7:7" x14ac:dyDescent="0.25">
      <c r="G54"/>
    </row>
    <row r="55" spans="7:7" x14ac:dyDescent="0.25">
      <c r="G55"/>
    </row>
    <row r="56" spans="7:7" x14ac:dyDescent="0.25">
      <c r="G56"/>
    </row>
    <row r="57" spans="7:7" x14ac:dyDescent="0.25">
      <c r="G57"/>
    </row>
    <row r="58" spans="7:7" x14ac:dyDescent="0.25">
      <c r="G58"/>
    </row>
    <row r="59" spans="7:7" x14ac:dyDescent="0.25">
      <c r="G59"/>
    </row>
    <row r="60" spans="7:7" x14ac:dyDescent="0.25">
      <c r="G60"/>
    </row>
    <row r="61" spans="7:7" x14ac:dyDescent="0.25">
      <c r="G61"/>
    </row>
    <row r="62" spans="7:7" x14ac:dyDescent="0.25">
      <c r="G62"/>
    </row>
    <row r="63" spans="7:7" x14ac:dyDescent="0.25">
      <c r="G63"/>
    </row>
    <row r="64" spans="7:7" x14ac:dyDescent="0.25">
      <c r="G64"/>
    </row>
    <row r="65" spans="7:7" x14ac:dyDescent="0.25">
      <c r="G65"/>
    </row>
    <row r="66" spans="7:7" x14ac:dyDescent="0.25">
      <c r="G66"/>
    </row>
  </sheetData>
  <mergeCells count="1">
    <mergeCell ref="B1:C1"/>
  </mergeCells>
  <pageMargins left="0.7" right="0.7" top="0.75" bottom="0.75" header="0.3" footer="0.3"/>
  <pageSetup orientation="portrait" r:id="rId1"/>
  <drawing r:id="rId2"/>
  <tableParts count="2">
    <tablePart r:id="rId3"/>
    <tablePart r:id="rId4"/>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667E87-437A-844D-B3F6-1B9945E3BCC8}">
  <sheetPr codeName="Sheet17">
    <tabColor theme="7" tint="0.39997558519241921"/>
  </sheetPr>
  <dimension ref="B1:S66"/>
  <sheetViews>
    <sheetView zoomScaleNormal="100" workbookViewId="0">
      <selection activeCell="C6" sqref="C6"/>
    </sheetView>
  </sheetViews>
  <sheetFormatPr defaultColWidth="9.140625" defaultRowHeight="15" x14ac:dyDescent="0.25"/>
  <cols>
    <col min="1" max="1" width="3" style="1" customWidth="1"/>
    <col min="2" max="2" width="46" style="1" customWidth="1"/>
    <col min="3" max="3" width="27.140625" style="1" customWidth="1"/>
    <col min="4" max="5" width="3" style="1" customWidth="1"/>
    <col min="6" max="6" width="9.140625" style="1"/>
    <col min="7" max="7" width="36.28515625" style="1" bestFit="1" customWidth="1"/>
    <col min="8" max="8" width="14.85546875" style="1" bestFit="1" customWidth="1"/>
    <col min="9" max="9" width="9.140625" style="1"/>
    <col min="10" max="10" width="23" style="1" customWidth="1"/>
    <col min="11" max="16384" width="9.140625" style="1"/>
  </cols>
  <sheetData>
    <row r="1" spans="2:19" ht="23.25" x14ac:dyDescent="0.25">
      <c r="B1" s="18" t="s">
        <v>28</v>
      </c>
      <c r="C1" s="18"/>
    </row>
    <row r="2" spans="2:19" ht="20.25" thickBot="1" x14ac:dyDescent="0.35">
      <c r="B2" s="8" t="s">
        <v>20</v>
      </c>
    </row>
    <row r="3" spans="2:19" ht="45.75" customHeight="1" thickTop="1" x14ac:dyDescent="0.25">
      <c r="B3" s="5" t="s">
        <v>22</v>
      </c>
    </row>
    <row r="4" spans="2:19" x14ac:dyDescent="0.25">
      <c r="B4" s="5"/>
    </row>
    <row r="5" spans="2:19" x14ac:dyDescent="0.25">
      <c r="B5" t="s">
        <v>16</v>
      </c>
      <c r="C5" s="12" t="s">
        <v>75</v>
      </c>
      <c r="G5" t="s">
        <v>14</v>
      </c>
      <c r="H5" t="s">
        <v>15</v>
      </c>
    </row>
    <row r="6" spans="2:19" x14ac:dyDescent="0.25">
      <c r="B6" t="s">
        <v>17</v>
      </c>
      <c r="C6" s="2" t="s">
        <v>21</v>
      </c>
      <c r="G6" t="s">
        <v>11</v>
      </c>
      <c r="H6" t="s">
        <v>13</v>
      </c>
      <c r="J6" t="s">
        <v>58</v>
      </c>
      <c r="K6">
        <f>MAX(G7:G46)</f>
        <v>40</v>
      </c>
      <c r="N6" s="1">
        <v>1</v>
      </c>
      <c r="O6" s="1">
        <v>44</v>
      </c>
      <c r="P6" s="1">
        <v>92</v>
      </c>
      <c r="Q6" s="1">
        <v>2.0910000000000002</v>
      </c>
      <c r="R6" s="1">
        <v>5.6</v>
      </c>
      <c r="S6" s="1">
        <v>255</v>
      </c>
    </row>
    <row r="7" spans="2:19" x14ac:dyDescent="0.25">
      <c r="B7" t="s">
        <v>18</v>
      </c>
      <c r="C7" s="6">
        <f ca="1">TODAY()</f>
        <v>45321</v>
      </c>
      <c r="G7">
        <v>1</v>
      </c>
      <c r="H7" s="1">
        <v>5.6</v>
      </c>
      <c r="J7" t="s">
        <v>59</v>
      </c>
      <c r="K7">
        <f>VLOOKUP(K6,confidence_95_multiplier1220222428303236[#All],2,FALSE)</f>
        <v>2.02</v>
      </c>
      <c r="N7" s="1">
        <v>2</v>
      </c>
      <c r="O7" s="1">
        <v>38</v>
      </c>
      <c r="P7" s="1">
        <v>82</v>
      </c>
      <c r="Q7" s="1">
        <v>2.1579999999999999</v>
      </c>
      <c r="R7" s="1">
        <v>4.9909999999999997</v>
      </c>
      <c r="S7" s="1">
        <v>255</v>
      </c>
    </row>
    <row r="8" spans="2:19" x14ac:dyDescent="0.25">
      <c r="G8">
        <v>2</v>
      </c>
      <c r="H8" s="1">
        <v>4.9909999999999997</v>
      </c>
      <c r="J8" t="s">
        <v>60</v>
      </c>
      <c r="K8">
        <f>AVERAGE(porosity_readings1119212327293135[x_i])</f>
        <v>3.6315000000000004</v>
      </c>
      <c r="N8" s="1">
        <v>3</v>
      </c>
      <c r="O8" s="1">
        <v>26</v>
      </c>
      <c r="P8" s="1">
        <v>47</v>
      </c>
      <c r="Q8" s="1">
        <v>1.8080000000000001</v>
      </c>
      <c r="R8" s="1">
        <v>2.8610000000000002</v>
      </c>
      <c r="S8" s="1">
        <v>255</v>
      </c>
    </row>
    <row r="9" spans="2:19" x14ac:dyDescent="0.25">
      <c r="B9" t="s">
        <v>55</v>
      </c>
      <c r="C9" s="3">
        <v>1000</v>
      </c>
      <c r="G9">
        <v>3</v>
      </c>
      <c r="H9" s="1">
        <v>2.8610000000000002</v>
      </c>
      <c r="J9" t="s">
        <v>61</v>
      </c>
      <c r="K9">
        <f>_xlfn.STDEV.S(porosity_readings1119212327293135[x_i])</f>
        <v>0.925008496149478</v>
      </c>
      <c r="N9" s="1">
        <v>4</v>
      </c>
      <c r="O9" s="1">
        <v>18</v>
      </c>
      <c r="P9" s="1">
        <v>35</v>
      </c>
      <c r="Q9" s="1">
        <v>1.944</v>
      </c>
      <c r="R9" s="1">
        <v>2.13</v>
      </c>
      <c r="S9" s="1">
        <v>255</v>
      </c>
    </row>
    <row r="10" spans="2:19" x14ac:dyDescent="0.25">
      <c r="B10" t="s">
        <v>26</v>
      </c>
      <c r="C10" s="11">
        <f>HIP_SHVOF_0250X!K8</f>
        <v>3.6315000000000004</v>
      </c>
      <c r="G10">
        <v>4</v>
      </c>
      <c r="H10" s="1">
        <v>2.13</v>
      </c>
      <c r="J10" t="s">
        <v>62</v>
      </c>
      <c r="K10" s="7">
        <f>K9*K7/(SQRT(K6))</f>
        <v>0.29543850398678367</v>
      </c>
      <c r="N10" s="1">
        <v>5</v>
      </c>
      <c r="O10" s="1">
        <v>29</v>
      </c>
      <c r="P10" s="1">
        <v>72</v>
      </c>
      <c r="Q10" s="1">
        <v>2.4830000000000001</v>
      </c>
      <c r="R10" s="1">
        <v>4.3819999999999997</v>
      </c>
      <c r="S10" s="1">
        <v>255</v>
      </c>
    </row>
    <row r="11" spans="2:19" x14ac:dyDescent="0.25">
      <c r="B11" t="s">
        <v>25</v>
      </c>
      <c r="C11" s="9">
        <f>HIP_SHVOF_0250X!K12</f>
        <v>2.13</v>
      </c>
      <c r="G11">
        <v>5</v>
      </c>
      <c r="H11" s="1">
        <v>4.3819999999999997</v>
      </c>
      <c r="J11" t="s">
        <v>63</v>
      </c>
      <c r="K11" s="7">
        <f>K10/K8</f>
        <v>8.1354400106507962E-2</v>
      </c>
      <c r="N11" s="1">
        <v>6</v>
      </c>
      <c r="O11" s="1">
        <v>30</v>
      </c>
      <c r="P11" s="1">
        <v>70</v>
      </c>
      <c r="Q11" s="1">
        <v>2.3330000000000002</v>
      </c>
      <c r="R11" s="1">
        <v>4.26</v>
      </c>
      <c r="S11" s="1">
        <v>255</v>
      </c>
    </row>
    <row r="12" spans="2:19" x14ac:dyDescent="0.25">
      <c r="B12" t="s">
        <v>24</v>
      </c>
      <c r="C12" s="9">
        <f>HIP_SHVOF_0250X!K13</f>
        <v>6.0259999999999998</v>
      </c>
      <c r="G12">
        <v>6</v>
      </c>
      <c r="H12" s="1">
        <v>4.26</v>
      </c>
      <c r="J12" t="s">
        <v>64</v>
      </c>
      <c r="K12">
        <f>MIN(porosity_readings1119212327293135[x_i])</f>
        <v>2.13</v>
      </c>
      <c r="N12" s="1">
        <v>7</v>
      </c>
      <c r="O12" s="1">
        <v>37</v>
      </c>
      <c r="P12" s="1">
        <v>79</v>
      </c>
      <c r="Q12" s="1">
        <v>2.1349999999999998</v>
      </c>
      <c r="R12" s="1">
        <v>4.8079999999999998</v>
      </c>
      <c r="S12" s="1">
        <v>255</v>
      </c>
    </row>
    <row r="13" spans="2:19" x14ac:dyDescent="0.25">
      <c r="B13" t="s">
        <v>12</v>
      </c>
      <c r="C13" s="11">
        <f>HIP_SHVOF_0250X!K9</f>
        <v>0.925008496149478</v>
      </c>
      <c r="G13">
        <v>7</v>
      </c>
      <c r="H13" s="1">
        <v>4.8079999999999998</v>
      </c>
      <c r="J13" t="s">
        <v>65</v>
      </c>
      <c r="K13">
        <f>MAX(porosity_readings1119212327293135[x_i])</f>
        <v>6.0259999999999998</v>
      </c>
      <c r="N13" s="1">
        <v>8</v>
      </c>
      <c r="O13" s="1">
        <v>29</v>
      </c>
      <c r="P13" s="1">
        <v>59</v>
      </c>
      <c r="Q13" s="1">
        <v>2.0339999999999998</v>
      </c>
      <c r="R13" s="1">
        <v>3.5910000000000002</v>
      </c>
      <c r="S13" s="1">
        <v>255</v>
      </c>
    </row>
    <row r="14" spans="2:19" x14ac:dyDescent="0.25">
      <c r="B14" t="s">
        <v>19</v>
      </c>
      <c r="C14" s="10">
        <f>HIP_SHVOF_0250X!K10</f>
        <v>0.29543850398678367</v>
      </c>
      <c r="G14">
        <v>8</v>
      </c>
      <c r="H14" s="1">
        <v>3.5910000000000002</v>
      </c>
      <c r="N14" s="1">
        <v>9</v>
      </c>
      <c r="O14" s="1">
        <v>36</v>
      </c>
      <c r="P14" s="1">
        <v>61</v>
      </c>
      <c r="Q14" s="1">
        <v>1.694</v>
      </c>
      <c r="R14" s="1">
        <v>3.7130000000000001</v>
      </c>
      <c r="S14" s="1">
        <v>255</v>
      </c>
    </row>
    <row r="15" spans="2:19" x14ac:dyDescent="0.25">
      <c r="B15" t="s">
        <v>27</v>
      </c>
      <c r="C15" s="14">
        <f>HIP_SHVOF_0250X!K11</f>
        <v>8.1354400106507962E-2</v>
      </c>
      <c r="G15">
        <v>9</v>
      </c>
      <c r="H15" s="1">
        <v>3.7130000000000001</v>
      </c>
      <c r="J15" t="s">
        <v>5</v>
      </c>
      <c r="K15"/>
      <c r="N15" s="1">
        <v>10</v>
      </c>
      <c r="O15" s="1">
        <v>24</v>
      </c>
      <c r="P15" s="1">
        <v>37</v>
      </c>
      <c r="Q15" s="1">
        <v>1.542</v>
      </c>
      <c r="R15" s="1">
        <v>2.2519999999999998</v>
      </c>
      <c r="S15" s="1">
        <v>255</v>
      </c>
    </row>
    <row r="16" spans="2:19" x14ac:dyDescent="0.25">
      <c r="B16" t="s">
        <v>23</v>
      </c>
      <c r="C16" s="2">
        <f>HIP_SHVOF_0250X!K6</f>
        <v>40</v>
      </c>
      <c r="G16">
        <v>10</v>
      </c>
      <c r="H16" s="1">
        <v>2.2519999999999998</v>
      </c>
      <c r="J16" t="s">
        <v>3</v>
      </c>
      <c r="K16" t="s">
        <v>4</v>
      </c>
      <c r="N16" s="1">
        <v>11</v>
      </c>
      <c r="O16" s="1">
        <v>26</v>
      </c>
      <c r="P16" s="1">
        <v>47</v>
      </c>
      <c r="Q16" s="1">
        <v>1.8080000000000001</v>
      </c>
      <c r="R16" s="1">
        <v>2.8610000000000002</v>
      </c>
      <c r="S16" s="1">
        <v>255</v>
      </c>
    </row>
    <row r="17" spans="2:19" x14ac:dyDescent="0.25">
      <c r="G17">
        <v>11</v>
      </c>
      <c r="H17" s="1">
        <v>2.8610000000000002</v>
      </c>
      <c r="J17">
        <v>20</v>
      </c>
      <c r="K17">
        <v>2.093</v>
      </c>
      <c r="N17" s="1">
        <v>12</v>
      </c>
      <c r="O17" s="1">
        <v>30</v>
      </c>
      <c r="P17" s="1">
        <v>57</v>
      </c>
      <c r="Q17" s="1">
        <v>1.9</v>
      </c>
      <c r="R17" s="1">
        <v>3.4689999999999999</v>
      </c>
      <c r="S17" s="1">
        <v>255</v>
      </c>
    </row>
    <row r="18" spans="2:19" x14ac:dyDescent="0.25">
      <c r="B18" s="1" t="s">
        <v>66</v>
      </c>
      <c r="C18" s="3">
        <v>0</v>
      </c>
      <c r="G18">
        <v>12</v>
      </c>
      <c r="H18" s="1">
        <v>3.4689999999999999</v>
      </c>
      <c r="J18">
        <v>21</v>
      </c>
      <c r="K18">
        <v>2.0859999999999999</v>
      </c>
      <c r="N18" s="1">
        <v>13</v>
      </c>
      <c r="O18" s="1">
        <v>36</v>
      </c>
      <c r="P18" s="1">
        <v>63</v>
      </c>
      <c r="Q18" s="1">
        <v>1.75</v>
      </c>
      <c r="R18" s="1">
        <v>3.8340000000000001</v>
      </c>
      <c r="S18" s="1">
        <v>255</v>
      </c>
    </row>
    <row r="19" spans="2:19" x14ac:dyDescent="0.25">
      <c r="B19" s="1" t="s">
        <v>53</v>
      </c>
      <c r="C19" s="2">
        <v>0</v>
      </c>
      <c r="G19">
        <v>13</v>
      </c>
      <c r="H19" s="1">
        <v>3.8340000000000001</v>
      </c>
      <c r="J19">
        <v>22</v>
      </c>
      <c r="K19">
        <v>2.08</v>
      </c>
      <c r="N19" s="1">
        <v>14</v>
      </c>
      <c r="O19" s="1">
        <v>42</v>
      </c>
      <c r="P19" s="1">
        <v>75</v>
      </c>
      <c r="Q19" s="1">
        <v>1.786</v>
      </c>
      <c r="R19" s="1">
        <v>4.5650000000000004</v>
      </c>
      <c r="S19" s="1">
        <v>255</v>
      </c>
    </row>
    <row r="20" spans="2:19" x14ac:dyDescent="0.25">
      <c r="B20" s="1" t="s">
        <v>54</v>
      </c>
      <c r="C20" s="2">
        <v>73</v>
      </c>
      <c r="G20">
        <v>14</v>
      </c>
      <c r="H20" s="1">
        <v>4.5650000000000004</v>
      </c>
      <c r="J20">
        <v>23</v>
      </c>
      <c r="K20">
        <v>2.0739999999999998</v>
      </c>
      <c r="N20" s="1">
        <v>15</v>
      </c>
      <c r="O20" s="1">
        <v>34</v>
      </c>
      <c r="P20" s="1">
        <v>63</v>
      </c>
      <c r="Q20" s="1">
        <v>1.853</v>
      </c>
      <c r="R20" s="1">
        <v>3.8340000000000001</v>
      </c>
      <c r="S20" s="1">
        <v>255</v>
      </c>
    </row>
    <row r="21" spans="2:19" x14ac:dyDescent="0.25">
      <c r="G21">
        <v>15</v>
      </c>
      <c r="H21" s="1">
        <v>3.8340000000000001</v>
      </c>
      <c r="J21">
        <v>24</v>
      </c>
      <c r="K21">
        <v>2.069</v>
      </c>
      <c r="N21" s="1">
        <v>16</v>
      </c>
      <c r="O21" s="1">
        <v>28</v>
      </c>
      <c r="P21" s="1">
        <v>55</v>
      </c>
      <c r="Q21" s="1">
        <v>1.964</v>
      </c>
      <c r="R21" s="1">
        <v>3.3479999999999999</v>
      </c>
      <c r="S21" s="1">
        <v>255</v>
      </c>
    </row>
    <row r="22" spans="2:19" x14ac:dyDescent="0.25">
      <c r="G22">
        <v>16</v>
      </c>
      <c r="H22" s="1">
        <v>3.3479999999999999</v>
      </c>
      <c r="J22">
        <v>25</v>
      </c>
      <c r="K22">
        <v>2.0640000000000001</v>
      </c>
      <c r="N22" s="1">
        <v>17</v>
      </c>
      <c r="O22" s="1">
        <v>28</v>
      </c>
      <c r="P22" s="1">
        <v>72</v>
      </c>
      <c r="Q22" s="1">
        <v>2.5710000000000002</v>
      </c>
      <c r="R22" s="1">
        <v>4.3819999999999997</v>
      </c>
      <c r="S22" s="1">
        <v>255</v>
      </c>
    </row>
    <row r="23" spans="2:19" x14ac:dyDescent="0.25">
      <c r="C23" s="4"/>
      <c r="G23">
        <v>17</v>
      </c>
      <c r="H23" s="1">
        <v>4.3819999999999997</v>
      </c>
      <c r="J23">
        <v>26</v>
      </c>
      <c r="K23">
        <v>2.06</v>
      </c>
      <c r="N23" s="1">
        <v>18</v>
      </c>
      <c r="O23" s="1">
        <v>32</v>
      </c>
      <c r="P23" s="1">
        <v>65</v>
      </c>
      <c r="Q23" s="1">
        <v>2.0310000000000001</v>
      </c>
      <c r="R23" s="1">
        <v>3.956</v>
      </c>
      <c r="S23" s="1">
        <v>255</v>
      </c>
    </row>
    <row r="24" spans="2:19" x14ac:dyDescent="0.25">
      <c r="G24">
        <v>18</v>
      </c>
      <c r="H24" s="1">
        <v>3.956</v>
      </c>
      <c r="J24">
        <v>27</v>
      </c>
      <c r="K24">
        <v>2.056</v>
      </c>
      <c r="N24" s="1">
        <v>19</v>
      </c>
      <c r="O24" s="1">
        <v>34</v>
      </c>
      <c r="P24" s="1">
        <v>69</v>
      </c>
      <c r="Q24" s="1">
        <v>2.0289999999999999</v>
      </c>
      <c r="R24" s="1">
        <v>4.2</v>
      </c>
      <c r="S24" s="1">
        <v>255</v>
      </c>
    </row>
    <row r="25" spans="2:19" x14ac:dyDescent="0.25">
      <c r="G25">
        <v>19</v>
      </c>
      <c r="H25" s="1">
        <v>4.2</v>
      </c>
      <c r="J25">
        <v>28</v>
      </c>
      <c r="K25">
        <v>2.052</v>
      </c>
      <c r="N25" s="1">
        <v>20</v>
      </c>
      <c r="O25" s="1">
        <v>42</v>
      </c>
      <c r="P25" s="1">
        <v>99</v>
      </c>
      <c r="Q25" s="1">
        <v>2.3570000000000002</v>
      </c>
      <c r="R25" s="1">
        <v>6.0259999999999998</v>
      </c>
      <c r="S25" s="1">
        <v>255</v>
      </c>
    </row>
    <row r="26" spans="2:19" x14ac:dyDescent="0.25">
      <c r="G26">
        <v>20</v>
      </c>
      <c r="H26" s="1">
        <v>6.0259999999999998</v>
      </c>
      <c r="J26">
        <v>29</v>
      </c>
      <c r="K26">
        <v>2.048</v>
      </c>
      <c r="N26" s="1">
        <v>1</v>
      </c>
      <c r="O26" s="1">
        <v>35</v>
      </c>
      <c r="P26" s="1">
        <v>65</v>
      </c>
      <c r="Q26" s="1">
        <v>1.857</v>
      </c>
      <c r="R26" s="1">
        <v>2.8610000000000002</v>
      </c>
      <c r="S26" s="1">
        <v>255</v>
      </c>
    </row>
    <row r="27" spans="2:19" x14ac:dyDescent="0.25">
      <c r="G27">
        <v>21</v>
      </c>
      <c r="H27" s="1">
        <v>2.8610000000000002</v>
      </c>
      <c r="J27">
        <v>30</v>
      </c>
      <c r="K27">
        <v>2.0449999999999999</v>
      </c>
      <c r="N27" s="1">
        <v>2</v>
      </c>
      <c r="O27" s="1">
        <v>55</v>
      </c>
      <c r="P27" s="1">
        <v>101</v>
      </c>
      <c r="Q27" s="1">
        <v>1.8360000000000001</v>
      </c>
      <c r="R27" s="1">
        <v>4.4450000000000003</v>
      </c>
      <c r="S27" s="1">
        <v>255</v>
      </c>
    </row>
    <row r="28" spans="2:19" x14ac:dyDescent="0.25">
      <c r="G28">
        <v>22</v>
      </c>
      <c r="H28" s="1">
        <v>4.4450000000000003</v>
      </c>
      <c r="J28">
        <v>40</v>
      </c>
      <c r="K28">
        <v>2.02</v>
      </c>
      <c r="N28" s="1">
        <v>3</v>
      </c>
      <c r="O28" s="1">
        <v>47</v>
      </c>
      <c r="P28" s="1">
        <v>72</v>
      </c>
      <c r="Q28" s="1">
        <v>1.532</v>
      </c>
      <c r="R28" s="1">
        <v>3.169</v>
      </c>
      <c r="S28" s="1">
        <v>255</v>
      </c>
    </row>
    <row r="29" spans="2:19" x14ac:dyDescent="0.25">
      <c r="G29">
        <v>23</v>
      </c>
      <c r="H29" s="1">
        <v>3.169</v>
      </c>
      <c r="J29">
        <v>60</v>
      </c>
      <c r="K29">
        <v>2</v>
      </c>
      <c r="N29" s="1">
        <v>4</v>
      </c>
      <c r="O29" s="1">
        <v>36</v>
      </c>
      <c r="P29" s="1">
        <v>63</v>
      </c>
      <c r="Q29" s="1">
        <v>1.75</v>
      </c>
      <c r="R29" s="1">
        <v>2.7730000000000001</v>
      </c>
      <c r="S29" s="1">
        <v>255</v>
      </c>
    </row>
    <row r="30" spans="2:19" x14ac:dyDescent="0.25">
      <c r="G30">
        <v>24</v>
      </c>
      <c r="H30" s="1">
        <v>2.7730000000000001</v>
      </c>
      <c r="N30" s="1">
        <v>5</v>
      </c>
      <c r="O30" s="1">
        <v>34</v>
      </c>
      <c r="P30" s="1">
        <v>56</v>
      </c>
      <c r="Q30" s="1">
        <v>1.647</v>
      </c>
      <c r="R30" s="1">
        <v>2.4649999999999999</v>
      </c>
      <c r="S30" s="1">
        <v>255</v>
      </c>
    </row>
    <row r="31" spans="2:19" x14ac:dyDescent="0.25">
      <c r="G31">
        <v>25</v>
      </c>
      <c r="H31" s="1">
        <v>2.4649999999999999</v>
      </c>
      <c r="N31" s="1">
        <v>6</v>
      </c>
      <c r="O31" s="1">
        <v>44</v>
      </c>
      <c r="P31" s="1">
        <v>94</v>
      </c>
      <c r="Q31" s="1">
        <v>2.1360000000000001</v>
      </c>
      <c r="R31" s="1">
        <v>4.1369999999999996</v>
      </c>
      <c r="S31" s="1">
        <v>255</v>
      </c>
    </row>
    <row r="32" spans="2:19" x14ac:dyDescent="0.25">
      <c r="G32">
        <v>26</v>
      </c>
      <c r="H32" s="1">
        <v>4.1369999999999996</v>
      </c>
      <c r="N32" s="1">
        <v>7</v>
      </c>
      <c r="O32" s="1">
        <v>43</v>
      </c>
      <c r="P32" s="1">
        <v>71</v>
      </c>
      <c r="Q32" s="1">
        <v>1.651</v>
      </c>
      <c r="R32" s="1">
        <v>3.125</v>
      </c>
      <c r="S32" s="1">
        <v>255</v>
      </c>
    </row>
    <row r="33" spans="7:19" x14ac:dyDescent="0.25">
      <c r="G33">
        <v>27</v>
      </c>
      <c r="H33" s="1">
        <v>3.125</v>
      </c>
      <c r="N33" s="1">
        <v>8</v>
      </c>
      <c r="O33" s="1">
        <v>39</v>
      </c>
      <c r="P33" s="1">
        <v>84</v>
      </c>
      <c r="Q33" s="1">
        <v>2.1539999999999999</v>
      </c>
      <c r="R33" s="1">
        <v>3.6970000000000001</v>
      </c>
      <c r="S33" s="1">
        <v>255</v>
      </c>
    </row>
    <row r="34" spans="7:19" x14ac:dyDescent="0.25">
      <c r="G34">
        <v>28</v>
      </c>
      <c r="H34" s="1">
        <v>3.6970000000000001</v>
      </c>
      <c r="N34" s="1">
        <v>9</v>
      </c>
      <c r="O34" s="1">
        <v>40</v>
      </c>
      <c r="P34" s="1">
        <v>73</v>
      </c>
      <c r="Q34" s="1">
        <v>1.825</v>
      </c>
      <c r="R34" s="1">
        <v>3.2130000000000001</v>
      </c>
      <c r="S34" s="1">
        <v>255</v>
      </c>
    </row>
    <row r="35" spans="7:19" x14ac:dyDescent="0.25">
      <c r="G35">
        <v>29</v>
      </c>
      <c r="H35" s="1">
        <v>3.2130000000000001</v>
      </c>
      <c r="N35" s="1">
        <v>10</v>
      </c>
      <c r="O35" s="1">
        <v>32</v>
      </c>
      <c r="P35" s="1">
        <v>50</v>
      </c>
      <c r="Q35" s="1">
        <v>1.5620000000000001</v>
      </c>
      <c r="R35" s="1">
        <v>2.2010000000000001</v>
      </c>
      <c r="S35" s="1">
        <v>255</v>
      </c>
    </row>
    <row r="36" spans="7:19" x14ac:dyDescent="0.25">
      <c r="G36">
        <v>30</v>
      </c>
      <c r="H36" s="1">
        <v>2.2010000000000001</v>
      </c>
      <c r="N36" s="1">
        <v>11</v>
      </c>
      <c r="O36" s="1">
        <v>46</v>
      </c>
      <c r="P36" s="1">
        <v>117</v>
      </c>
      <c r="Q36" s="1">
        <v>2.5430000000000001</v>
      </c>
      <c r="R36" s="1">
        <v>5.15</v>
      </c>
      <c r="S36" s="1">
        <v>255</v>
      </c>
    </row>
    <row r="37" spans="7:19" x14ac:dyDescent="0.25">
      <c r="G37">
        <v>31</v>
      </c>
      <c r="H37" s="1">
        <v>5.15</v>
      </c>
      <c r="N37" s="1">
        <v>12</v>
      </c>
      <c r="O37" s="1">
        <v>31</v>
      </c>
      <c r="P37" s="1">
        <v>64</v>
      </c>
      <c r="Q37" s="1">
        <v>2.0649999999999999</v>
      </c>
      <c r="R37" s="1">
        <v>2.8170000000000002</v>
      </c>
      <c r="S37" s="1">
        <v>255</v>
      </c>
    </row>
    <row r="38" spans="7:19" x14ac:dyDescent="0.25">
      <c r="G38">
        <v>32</v>
      </c>
      <c r="H38" s="1">
        <v>2.8170000000000002</v>
      </c>
      <c r="N38" s="1">
        <v>13</v>
      </c>
      <c r="O38" s="1">
        <v>40</v>
      </c>
      <c r="P38" s="1">
        <v>72</v>
      </c>
      <c r="Q38" s="1">
        <v>1.8</v>
      </c>
      <c r="R38" s="1">
        <v>3.169</v>
      </c>
      <c r="S38" s="1">
        <v>255</v>
      </c>
    </row>
    <row r="39" spans="7:19" x14ac:dyDescent="0.25">
      <c r="G39">
        <v>33</v>
      </c>
      <c r="H39" s="1">
        <v>3.169</v>
      </c>
      <c r="N39" s="1">
        <v>14</v>
      </c>
      <c r="O39" s="1">
        <v>45</v>
      </c>
      <c r="P39" s="1">
        <v>83</v>
      </c>
      <c r="Q39" s="1">
        <v>1.8440000000000001</v>
      </c>
      <c r="R39" s="1">
        <v>3.653</v>
      </c>
      <c r="S39" s="1">
        <v>255</v>
      </c>
    </row>
    <row r="40" spans="7:19" x14ac:dyDescent="0.25">
      <c r="G40">
        <v>34</v>
      </c>
      <c r="H40" s="1">
        <v>3.653</v>
      </c>
      <c r="N40" s="1">
        <v>15</v>
      </c>
      <c r="O40" s="1">
        <v>34</v>
      </c>
      <c r="P40" s="1">
        <v>56</v>
      </c>
      <c r="Q40" s="1">
        <v>1.647</v>
      </c>
      <c r="R40" s="1">
        <v>2.4649999999999999</v>
      </c>
      <c r="S40" s="1">
        <v>255</v>
      </c>
    </row>
    <row r="41" spans="7:19" x14ac:dyDescent="0.25">
      <c r="G41">
        <v>35</v>
      </c>
      <c r="H41" s="1">
        <v>2.4649999999999999</v>
      </c>
      <c r="N41" s="1">
        <v>16</v>
      </c>
      <c r="O41" s="1">
        <v>46</v>
      </c>
      <c r="P41" s="1">
        <v>85</v>
      </c>
      <c r="Q41" s="1">
        <v>1.8480000000000001</v>
      </c>
      <c r="R41" s="1">
        <v>3.7410000000000001</v>
      </c>
      <c r="S41" s="1">
        <v>255</v>
      </c>
    </row>
    <row r="42" spans="7:19" x14ac:dyDescent="0.25">
      <c r="G42">
        <v>36</v>
      </c>
      <c r="H42" s="1">
        <v>3.7410000000000001</v>
      </c>
      <c r="N42" s="1">
        <v>17</v>
      </c>
      <c r="O42" s="1">
        <v>47</v>
      </c>
      <c r="P42" s="1">
        <v>67</v>
      </c>
      <c r="Q42" s="1">
        <v>1.4259999999999999</v>
      </c>
      <c r="R42" s="1">
        <v>2.9489999999999998</v>
      </c>
      <c r="S42" s="1">
        <v>255</v>
      </c>
    </row>
    <row r="43" spans="7:19" x14ac:dyDescent="0.25">
      <c r="G43">
        <v>37</v>
      </c>
      <c r="H43" s="1">
        <v>2.9489999999999998</v>
      </c>
      <c r="N43" s="1">
        <v>18</v>
      </c>
      <c r="O43" s="1">
        <v>34</v>
      </c>
      <c r="P43" s="1">
        <v>62</v>
      </c>
      <c r="Q43" s="1">
        <v>1.8240000000000001</v>
      </c>
      <c r="R43" s="1">
        <v>2.7290000000000001</v>
      </c>
      <c r="S43" s="1">
        <v>255</v>
      </c>
    </row>
    <row r="44" spans="7:19" x14ac:dyDescent="0.25">
      <c r="G44">
        <v>38</v>
      </c>
      <c r="H44" s="1">
        <v>2.7290000000000001</v>
      </c>
      <c r="N44" s="1">
        <v>19</v>
      </c>
      <c r="O44" s="1">
        <v>36</v>
      </c>
      <c r="P44" s="1">
        <v>83</v>
      </c>
      <c r="Q44" s="1">
        <v>2.306</v>
      </c>
      <c r="R44" s="1">
        <v>3.653</v>
      </c>
      <c r="S44" s="1">
        <v>255</v>
      </c>
    </row>
    <row r="45" spans="7:19" x14ac:dyDescent="0.25">
      <c r="G45">
        <v>39</v>
      </c>
      <c r="H45" s="1">
        <v>3.653</v>
      </c>
      <c r="N45" s="1">
        <v>20</v>
      </c>
      <c r="O45" s="1">
        <v>40</v>
      </c>
      <c r="P45" s="1">
        <v>86</v>
      </c>
      <c r="Q45" s="1">
        <v>2.15</v>
      </c>
      <c r="R45" s="1">
        <v>3.7850000000000001</v>
      </c>
      <c r="S45" s="1">
        <v>255</v>
      </c>
    </row>
    <row r="46" spans="7:19" x14ac:dyDescent="0.25">
      <c r="G46">
        <v>40</v>
      </c>
      <c r="H46" s="1">
        <v>3.7850000000000001</v>
      </c>
    </row>
    <row r="47" spans="7:19" x14ac:dyDescent="0.25">
      <c r="G47"/>
    </row>
    <row r="48" spans="7:19" x14ac:dyDescent="0.25">
      <c r="G48"/>
    </row>
    <row r="49" spans="7:7" x14ac:dyDescent="0.25">
      <c r="G49"/>
    </row>
    <row r="50" spans="7:7" x14ac:dyDescent="0.25">
      <c r="G50"/>
    </row>
    <row r="51" spans="7:7" x14ac:dyDescent="0.25">
      <c r="G51"/>
    </row>
    <row r="52" spans="7:7" x14ac:dyDescent="0.25">
      <c r="G52"/>
    </row>
    <row r="53" spans="7:7" x14ac:dyDescent="0.25">
      <c r="G53"/>
    </row>
    <row r="54" spans="7:7" x14ac:dyDescent="0.25">
      <c r="G54"/>
    </row>
    <row r="55" spans="7:7" x14ac:dyDescent="0.25">
      <c r="G55"/>
    </row>
    <row r="56" spans="7:7" x14ac:dyDescent="0.25">
      <c r="G56"/>
    </row>
    <row r="57" spans="7:7" x14ac:dyDescent="0.25">
      <c r="G57"/>
    </row>
    <row r="58" spans="7:7" x14ac:dyDescent="0.25">
      <c r="G58"/>
    </row>
    <row r="59" spans="7:7" x14ac:dyDescent="0.25">
      <c r="G59"/>
    </row>
    <row r="60" spans="7:7" x14ac:dyDescent="0.25">
      <c r="G60"/>
    </row>
    <row r="61" spans="7:7" x14ac:dyDescent="0.25">
      <c r="G61"/>
    </row>
    <row r="62" spans="7:7" x14ac:dyDescent="0.25">
      <c r="G62"/>
    </row>
    <row r="63" spans="7:7" x14ac:dyDescent="0.25">
      <c r="G63"/>
    </row>
    <row r="64" spans="7:7" x14ac:dyDescent="0.25">
      <c r="G64"/>
    </row>
    <row r="65" spans="7:7" x14ac:dyDescent="0.25">
      <c r="G65"/>
    </row>
    <row r="66" spans="7:7" x14ac:dyDescent="0.25">
      <c r="G66"/>
    </row>
  </sheetData>
  <mergeCells count="1">
    <mergeCell ref="B1:C1"/>
  </mergeCells>
  <pageMargins left="0.7" right="0.7" top="0.75" bottom="0.75" header="0.3" footer="0.3"/>
  <pageSetup orientation="portrait" r:id="rId1"/>
  <drawing r:id="rId2"/>
  <tableParts count="2">
    <tablePart r:id="rId3"/>
    <tablePart r:id="rId4"/>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9E7C2B-A06B-9E4A-8286-6630358B522F}">
  <sheetPr codeName="Sheet15">
    <tabColor theme="7" tint="0.39997558519241921"/>
  </sheetPr>
  <dimension ref="B1:S66"/>
  <sheetViews>
    <sheetView zoomScaleNormal="100" workbookViewId="0">
      <selection activeCell="X51" sqref="X51"/>
    </sheetView>
  </sheetViews>
  <sheetFormatPr defaultColWidth="9.140625" defaultRowHeight="15" x14ac:dyDescent="0.25"/>
  <cols>
    <col min="1" max="1" width="3" style="1" customWidth="1"/>
    <col min="2" max="2" width="46" style="1" customWidth="1"/>
    <col min="3" max="3" width="27.140625" style="1" customWidth="1"/>
    <col min="4" max="5" width="3" style="1" customWidth="1"/>
    <col min="6" max="6" width="9.140625" style="1"/>
    <col min="7" max="7" width="36.28515625" style="1" bestFit="1" customWidth="1"/>
    <col min="8" max="8" width="14.85546875" style="1" bestFit="1" customWidth="1"/>
    <col min="9" max="9" width="9.140625" style="1"/>
    <col min="10" max="10" width="23" style="1" customWidth="1"/>
    <col min="11" max="16384" width="9.140625" style="1"/>
  </cols>
  <sheetData>
    <row r="1" spans="2:19" ht="23.25" x14ac:dyDescent="0.25">
      <c r="B1" s="18" t="s">
        <v>28</v>
      </c>
      <c r="C1" s="18"/>
    </row>
    <row r="2" spans="2:19" ht="20.25" thickBot="1" x14ac:dyDescent="0.35">
      <c r="B2" s="8" t="s">
        <v>20</v>
      </c>
    </row>
    <row r="3" spans="2:19" ht="45.75" customHeight="1" thickTop="1" x14ac:dyDescent="0.25">
      <c r="B3" s="5" t="s">
        <v>22</v>
      </c>
    </row>
    <row r="4" spans="2:19" x14ac:dyDescent="0.25">
      <c r="B4" s="5"/>
    </row>
    <row r="5" spans="2:19" x14ac:dyDescent="0.25">
      <c r="B5" t="s">
        <v>16</v>
      </c>
      <c r="C5" s="12" t="s">
        <v>73</v>
      </c>
      <c r="G5" t="s">
        <v>14</v>
      </c>
      <c r="H5" t="s">
        <v>15</v>
      </c>
    </row>
    <row r="6" spans="2:19" x14ac:dyDescent="0.25">
      <c r="B6" t="s">
        <v>17</v>
      </c>
      <c r="C6" s="2" t="s">
        <v>21</v>
      </c>
      <c r="G6" t="s">
        <v>11</v>
      </c>
      <c r="H6" t="s">
        <v>13</v>
      </c>
      <c r="J6" t="s">
        <v>58</v>
      </c>
      <c r="K6">
        <f>MAX(G7:G66)</f>
        <v>60</v>
      </c>
      <c r="N6" s="1">
        <v>1</v>
      </c>
      <c r="O6" s="1">
        <v>16</v>
      </c>
      <c r="P6" s="1">
        <v>42</v>
      </c>
      <c r="Q6" s="1">
        <v>2.625</v>
      </c>
      <c r="R6" s="1">
        <v>3.3039999999999998</v>
      </c>
      <c r="S6" s="1">
        <v>255</v>
      </c>
    </row>
    <row r="7" spans="2:19" x14ac:dyDescent="0.25">
      <c r="B7" t="s">
        <v>18</v>
      </c>
      <c r="C7" s="6">
        <f ca="1">TODAY()</f>
        <v>45321</v>
      </c>
      <c r="G7">
        <v>1</v>
      </c>
      <c r="H7" s="1">
        <v>3.3039999999999998</v>
      </c>
      <c r="J7" t="s">
        <v>59</v>
      </c>
      <c r="K7">
        <f>VLOOKUP(K6,confidence_95_multiplier12202224283032[#All],2,FALSE)</f>
        <v>2</v>
      </c>
      <c r="N7" s="1">
        <v>2</v>
      </c>
      <c r="O7" s="1">
        <v>14</v>
      </c>
      <c r="P7" s="1">
        <v>23</v>
      </c>
      <c r="Q7" s="1">
        <v>1.643</v>
      </c>
      <c r="R7" s="1">
        <v>1.81</v>
      </c>
      <c r="S7" s="1">
        <v>255</v>
      </c>
    </row>
    <row r="8" spans="2:19" x14ac:dyDescent="0.25">
      <c r="G8">
        <v>2</v>
      </c>
      <c r="H8" s="1">
        <v>1.81</v>
      </c>
      <c r="J8" t="s">
        <v>60</v>
      </c>
      <c r="K8">
        <f>AVERAGE(porosity_readings11192123272931[x_i])</f>
        <v>2.3993500000000001</v>
      </c>
      <c r="N8" s="1">
        <v>3</v>
      </c>
      <c r="O8" s="1">
        <v>16</v>
      </c>
      <c r="P8" s="1">
        <v>25</v>
      </c>
      <c r="Q8" s="1">
        <v>1.5620000000000001</v>
      </c>
      <c r="R8" s="1">
        <v>1.9670000000000001</v>
      </c>
      <c r="S8" s="1">
        <v>255</v>
      </c>
    </row>
    <row r="9" spans="2:19" x14ac:dyDescent="0.25">
      <c r="B9" t="s">
        <v>55</v>
      </c>
      <c r="C9" s="3">
        <v>1000</v>
      </c>
      <c r="G9">
        <v>3</v>
      </c>
      <c r="H9" s="1">
        <v>1.9670000000000001</v>
      </c>
      <c r="J9" t="s">
        <v>61</v>
      </c>
      <c r="K9">
        <f>_xlfn.STDEV.S(porosity_readings11192123272931[x_i])</f>
        <v>0.85889451661887128</v>
      </c>
      <c r="N9" s="1">
        <v>4</v>
      </c>
      <c r="O9" s="1">
        <v>20</v>
      </c>
      <c r="P9" s="1">
        <v>24</v>
      </c>
      <c r="Q9" s="1">
        <v>1.2</v>
      </c>
      <c r="R9" s="1">
        <v>1.8879999999999999</v>
      </c>
      <c r="S9" s="1">
        <v>255</v>
      </c>
    </row>
    <row r="10" spans="2:19" x14ac:dyDescent="0.25">
      <c r="B10" t="s">
        <v>26</v>
      </c>
      <c r="C10" s="11">
        <f>SHVOF_0250X!K8</f>
        <v>2.3993500000000001</v>
      </c>
      <c r="G10">
        <v>4</v>
      </c>
      <c r="H10" s="1">
        <v>1.8879999999999999</v>
      </c>
      <c r="J10" t="s">
        <v>62</v>
      </c>
      <c r="K10" s="7">
        <f>K9*K7/(SQRT(K6))</f>
        <v>0.22176561060091718</v>
      </c>
      <c r="N10" s="1">
        <v>5</v>
      </c>
      <c r="O10" s="1">
        <v>17</v>
      </c>
      <c r="P10" s="1">
        <v>37</v>
      </c>
      <c r="Q10" s="1">
        <v>2.1760000000000002</v>
      </c>
      <c r="R10" s="1">
        <v>2.911</v>
      </c>
      <c r="S10" s="1">
        <v>255</v>
      </c>
    </row>
    <row r="11" spans="2:19" x14ac:dyDescent="0.25">
      <c r="B11" t="s">
        <v>25</v>
      </c>
      <c r="C11" s="9">
        <f>SHVOF_0250X!K12</f>
        <v>0.65100000000000002</v>
      </c>
      <c r="G11">
        <v>5</v>
      </c>
      <c r="H11" s="1">
        <v>2.911</v>
      </c>
      <c r="J11" t="s">
        <v>63</v>
      </c>
      <c r="K11" s="7">
        <f>K10/K8</f>
        <v>9.2427370163134667E-2</v>
      </c>
      <c r="N11" s="1">
        <v>6</v>
      </c>
      <c r="O11" s="1">
        <v>13</v>
      </c>
      <c r="P11" s="1">
        <v>30</v>
      </c>
      <c r="Q11" s="1">
        <v>2.3079999999999998</v>
      </c>
      <c r="R11" s="1">
        <v>2.36</v>
      </c>
      <c r="S11" s="1">
        <v>255</v>
      </c>
    </row>
    <row r="12" spans="2:19" x14ac:dyDescent="0.25">
      <c r="B12" t="s">
        <v>24</v>
      </c>
      <c r="C12" s="9">
        <f>SHVOF_0250X!K13</f>
        <v>4.6420000000000003</v>
      </c>
      <c r="G12">
        <v>6</v>
      </c>
      <c r="H12" s="1">
        <v>2.36</v>
      </c>
      <c r="J12" t="s">
        <v>64</v>
      </c>
      <c r="K12">
        <f>MIN(porosity_readings11192123272931[x_i])</f>
        <v>0.65100000000000002</v>
      </c>
      <c r="N12" s="1">
        <v>7</v>
      </c>
      <c r="O12" s="1">
        <v>19</v>
      </c>
      <c r="P12" s="1">
        <v>39</v>
      </c>
      <c r="Q12" s="1">
        <v>2.0529999999999999</v>
      </c>
      <c r="R12" s="1">
        <v>3.0680000000000001</v>
      </c>
      <c r="S12" s="1">
        <v>255</v>
      </c>
    </row>
    <row r="13" spans="2:19" x14ac:dyDescent="0.25">
      <c r="B13" t="s">
        <v>12</v>
      </c>
      <c r="C13" s="11">
        <f>SHVOF_0250X!K9</f>
        <v>0.85889451661887128</v>
      </c>
      <c r="G13">
        <v>7</v>
      </c>
      <c r="H13" s="1">
        <v>3.0680000000000001</v>
      </c>
      <c r="J13" t="s">
        <v>65</v>
      </c>
      <c r="K13">
        <f>MAX(porosity_readings11192123272931[x_i])</f>
        <v>4.6420000000000003</v>
      </c>
      <c r="N13" s="1">
        <v>8</v>
      </c>
      <c r="O13" s="1">
        <v>23</v>
      </c>
      <c r="P13" s="1">
        <v>58</v>
      </c>
      <c r="Q13" s="1">
        <v>2.5219999999999998</v>
      </c>
      <c r="R13" s="1">
        <v>4.5629999999999997</v>
      </c>
      <c r="S13" s="1">
        <v>255</v>
      </c>
    </row>
    <row r="14" spans="2:19" x14ac:dyDescent="0.25">
      <c r="B14" t="s">
        <v>19</v>
      </c>
      <c r="C14" s="10">
        <f>SHVOF_0250X!K10</f>
        <v>0.22176561060091718</v>
      </c>
      <c r="G14">
        <v>8</v>
      </c>
      <c r="H14" s="1">
        <v>4.5629999999999997</v>
      </c>
      <c r="N14" s="1">
        <v>9</v>
      </c>
      <c r="O14" s="1">
        <v>22</v>
      </c>
      <c r="P14" s="1">
        <v>44</v>
      </c>
      <c r="Q14" s="1">
        <v>2</v>
      </c>
      <c r="R14" s="1">
        <v>3.4620000000000002</v>
      </c>
      <c r="S14" s="1">
        <v>255</v>
      </c>
    </row>
    <row r="15" spans="2:19" x14ac:dyDescent="0.25">
      <c r="B15" t="s">
        <v>27</v>
      </c>
      <c r="C15" s="14">
        <f>SHVOF_0250X!K11</f>
        <v>9.2427370163134667E-2</v>
      </c>
      <c r="G15">
        <v>9</v>
      </c>
      <c r="H15" s="1">
        <v>3.4620000000000002</v>
      </c>
      <c r="J15" t="s">
        <v>5</v>
      </c>
      <c r="K15"/>
      <c r="N15" s="1">
        <v>10</v>
      </c>
      <c r="O15" s="1">
        <v>20</v>
      </c>
      <c r="P15" s="1">
        <v>41</v>
      </c>
      <c r="Q15" s="1">
        <v>2.0499999999999998</v>
      </c>
      <c r="R15" s="1">
        <v>3.226</v>
      </c>
      <c r="S15" s="1">
        <v>255</v>
      </c>
    </row>
    <row r="16" spans="2:19" x14ac:dyDescent="0.25">
      <c r="B16" t="s">
        <v>23</v>
      </c>
      <c r="C16" s="2">
        <f>SHVOF_0250X!K6</f>
        <v>60</v>
      </c>
      <c r="G16">
        <v>10</v>
      </c>
      <c r="H16" s="1">
        <v>3.226</v>
      </c>
      <c r="J16" t="s">
        <v>3</v>
      </c>
      <c r="K16" t="s">
        <v>4</v>
      </c>
      <c r="N16" s="1">
        <v>11</v>
      </c>
      <c r="O16" s="1">
        <v>13</v>
      </c>
      <c r="P16" s="1">
        <v>28</v>
      </c>
      <c r="Q16" s="1">
        <v>2.1539999999999999</v>
      </c>
      <c r="R16" s="1">
        <v>2.2029999999999998</v>
      </c>
      <c r="S16" s="1">
        <v>255</v>
      </c>
    </row>
    <row r="17" spans="2:19" x14ac:dyDescent="0.25">
      <c r="G17">
        <v>11</v>
      </c>
      <c r="H17" s="1">
        <v>2.2029999999999998</v>
      </c>
      <c r="J17">
        <v>20</v>
      </c>
      <c r="K17">
        <v>2.093</v>
      </c>
      <c r="N17" s="1">
        <v>12</v>
      </c>
      <c r="O17" s="1">
        <v>14</v>
      </c>
      <c r="P17" s="1">
        <v>25</v>
      </c>
      <c r="Q17" s="1">
        <v>1.786</v>
      </c>
      <c r="R17" s="1">
        <v>1.9670000000000001</v>
      </c>
      <c r="S17" s="1">
        <v>255</v>
      </c>
    </row>
    <row r="18" spans="2:19" x14ac:dyDescent="0.25">
      <c r="B18" s="1" t="s">
        <v>66</v>
      </c>
      <c r="C18" s="3">
        <v>0</v>
      </c>
      <c r="G18">
        <v>12</v>
      </c>
      <c r="H18" s="1">
        <v>1.9670000000000001</v>
      </c>
      <c r="J18">
        <v>21</v>
      </c>
      <c r="K18">
        <v>2.0859999999999999</v>
      </c>
      <c r="N18" s="1">
        <v>13</v>
      </c>
      <c r="O18" s="1">
        <v>12</v>
      </c>
      <c r="P18" s="1">
        <v>18</v>
      </c>
      <c r="Q18" s="1">
        <v>1.5</v>
      </c>
      <c r="R18" s="1">
        <v>1.4159999999999999</v>
      </c>
      <c r="S18" s="1">
        <v>255</v>
      </c>
    </row>
    <row r="19" spans="2:19" x14ac:dyDescent="0.25">
      <c r="B19" s="1" t="s">
        <v>53</v>
      </c>
      <c r="C19" s="2">
        <v>0</v>
      </c>
      <c r="G19">
        <v>13</v>
      </c>
      <c r="H19" s="1">
        <v>1.4159999999999999</v>
      </c>
      <c r="J19">
        <v>22</v>
      </c>
      <c r="K19">
        <v>2.08</v>
      </c>
      <c r="N19" s="1">
        <v>14</v>
      </c>
      <c r="O19" s="1">
        <v>21</v>
      </c>
      <c r="P19" s="1">
        <v>33</v>
      </c>
      <c r="Q19" s="1">
        <v>1.571</v>
      </c>
      <c r="R19" s="1">
        <v>2.5960000000000001</v>
      </c>
      <c r="S19" s="1">
        <v>255</v>
      </c>
    </row>
    <row r="20" spans="2:19" x14ac:dyDescent="0.25">
      <c r="B20" s="1" t="s">
        <v>54</v>
      </c>
      <c r="C20" s="2">
        <v>130</v>
      </c>
      <c r="G20">
        <v>14</v>
      </c>
      <c r="H20" s="1">
        <v>2.5960000000000001</v>
      </c>
      <c r="J20">
        <v>23</v>
      </c>
      <c r="K20">
        <v>2.0739999999999998</v>
      </c>
      <c r="N20" s="1">
        <v>15</v>
      </c>
      <c r="O20" s="1">
        <v>21</v>
      </c>
      <c r="P20" s="1">
        <v>57</v>
      </c>
      <c r="Q20" s="1">
        <v>2.714</v>
      </c>
      <c r="R20" s="1">
        <v>4.4850000000000003</v>
      </c>
      <c r="S20" s="1">
        <v>255</v>
      </c>
    </row>
    <row r="21" spans="2:19" x14ac:dyDescent="0.25">
      <c r="G21">
        <v>15</v>
      </c>
      <c r="H21" s="1">
        <v>4.4850000000000003</v>
      </c>
      <c r="J21">
        <v>24</v>
      </c>
      <c r="K21">
        <v>2.069</v>
      </c>
      <c r="N21" s="1">
        <v>16</v>
      </c>
      <c r="O21" s="1">
        <v>15</v>
      </c>
      <c r="P21" s="1">
        <v>18</v>
      </c>
      <c r="Q21" s="1">
        <v>1.2</v>
      </c>
      <c r="R21" s="1">
        <v>1.4159999999999999</v>
      </c>
      <c r="S21" s="1">
        <v>255</v>
      </c>
    </row>
    <row r="22" spans="2:19" x14ac:dyDescent="0.25">
      <c r="G22">
        <v>16</v>
      </c>
      <c r="H22" s="1">
        <v>1.4159999999999999</v>
      </c>
      <c r="J22">
        <v>25</v>
      </c>
      <c r="K22">
        <v>2.0640000000000001</v>
      </c>
      <c r="N22" s="1">
        <v>17</v>
      </c>
      <c r="O22" s="1">
        <v>16</v>
      </c>
      <c r="P22" s="1">
        <v>21</v>
      </c>
      <c r="Q22" s="1">
        <v>1.3120000000000001</v>
      </c>
      <c r="R22" s="1">
        <v>1.6519999999999999</v>
      </c>
      <c r="S22" s="1">
        <v>255</v>
      </c>
    </row>
    <row r="23" spans="2:19" x14ac:dyDescent="0.25">
      <c r="C23" s="4"/>
      <c r="G23">
        <v>17</v>
      </c>
      <c r="H23" s="1">
        <v>1.6519999999999999</v>
      </c>
      <c r="J23">
        <v>26</v>
      </c>
      <c r="K23">
        <v>2.06</v>
      </c>
      <c r="N23" s="1">
        <v>18</v>
      </c>
      <c r="O23" s="1">
        <v>12</v>
      </c>
      <c r="P23" s="1">
        <v>36</v>
      </c>
      <c r="Q23" s="1">
        <v>3</v>
      </c>
      <c r="R23" s="1">
        <v>2.8319999999999999</v>
      </c>
      <c r="S23" s="1">
        <v>255</v>
      </c>
    </row>
    <row r="24" spans="2:19" x14ac:dyDescent="0.25">
      <c r="G24">
        <v>18</v>
      </c>
      <c r="H24" s="1">
        <v>2.8319999999999999</v>
      </c>
      <c r="J24">
        <v>27</v>
      </c>
      <c r="K24">
        <v>2.056</v>
      </c>
      <c r="N24" s="1">
        <v>19</v>
      </c>
      <c r="O24" s="1">
        <v>15</v>
      </c>
      <c r="P24" s="1">
        <v>59</v>
      </c>
      <c r="Q24" s="1">
        <v>3.9329999999999998</v>
      </c>
      <c r="R24" s="1">
        <v>4.6420000000000003</v>
      </c>
      <c r="S24" s="1">
        <v>255</v>
      </c>
    </row>
    <row r="25" spans="2:19" x14ac:dyDescent="0.25">
      <c r="G25">
        <v>19</v>
      </c>
      <c r="H25" s="1">
        <v>4.6420000000000003</v>
      </c>
      <c r="J25">
        <v>28</v>
      </c>
      <c r="K25">
        <v>2.052</v>
      </c>
      <c r="N25" s="1">
        <v>20</v>
      </c>
      <c r="O25" s="1">
        <v>27</v>
      </c>
      <c r="P25" s="1">
        <v>40</v>
      </c>
      <c r="Q25" s="1">
        <v>1.4810000000000001</v>
      </c>
      <c r="R25" s="1">
        <v>3.1469999999999998</v>
      </c>
      <c r="S25" s="1">
        <v>255</v>
      </c>
    </row>
    <row r="26" spans="2:19" x14ac:dyDescent="0.25">
      <c r="G26">
        <v>20</v>
      </c>
      <c r="H26" s="1">
        <v>3.1469999999999998</v>
      </c>
      <c r="J26">
        <v>29</v>
      </c>
      <c r="K26">
        <v>2.048</v>
      </c>
      <c r="N26" s="1">
        <v>1</v>
      </c>
      <c r="O26" s="1">
        <v>7</v>
      </c>
      <c r="P26" s="1">
        <v>19</v>
      </c>
      <c r="Q26" s="1">
        <v>2.714</v>
      </c>
      <c r="R26" s="1">
        <v>1.6859999999999999</v>
      </c>
      <c r="S26" s="1">
        <v>255</v>
      </c>
    </row>
    <row r="27" spans="2:19" x14ac:dyDescent="0.25">
      <c r="G27">
        <v>21</v>
      </c>
      <c r="H27" s="1">
        <v>1.6859999999999999</v>
      </c>
      <c r="J27">
        <v>30</v>
      </c>
      <c r="K27">
        <v>2.0449999999999999</v>
      </c>
      <c r="N27" s="1">
        <v>2</v>
      </c>
      <c r="O27" s="1">
        <v>15</v>
      </c>
      <c r="P27" s="1">
        <v>26</v>
      </c>
      <c r="Q27" s="1">
        <v>1.7330000000000001</v>
      </c>
      <c r="R27" s="1">
        <v>2.3069999999999999</v>
      </c>
      <c r="S27" s="1">
        <v>255</v>
      </c>
    </row>
    <row r="28" spans="2:19" x14ac:dyDescent="0.25">
      <c r="G28">
        <v>22</v>
      </c>
      <c r="H28" s="1">
        <v>2.3069999999999999</v>
      </c>
      <c r="J28">
        <v>40</v>
      </c>
      <c r="K28">
        <v>2.02</v>
      </c>
      <c r="N28" s="1">
        <v>3</v>
      </c>
      <c r="O28" s="1">
        <v>6</v>
      </c>
      <c r="P28" s="1">
        <v>14</v>
      </c>
      <c r="Q28" s="1">
        <v>2.3330000000000002</v>
      </c>
      <c r="R28" s="1">
        <v>1.242</v>
      </c>
      <c r="S28" s="1">
        <v>255</v>
      </c>
    </row>
    <row r="29" spans="2:19" x14ac:dyDescent="0.25">
      <c r="G29">
        <v>23</v>
      </c>
      <c r="H29" s="1">
        <v>1.242</v>
      </c>
      <c r="J29">
        <v>60</v>
      </c>
      <c r="K29">
        <v>2</v>
      </c>
      <c r="N29" s="1">
        <v>4</v>
      </c>
      <c r="O29" s="1">
        <v>14</v>
      </c>
      <c r="P29" s="1">
        <v>29</v>
      </c>
      <c r="Q29" s="1">
        <v>2.0710000000000002</v>
      </c>
      <c r="R29" s="1">
        <v>2.573</v>
      </c>
      <c r="S29" s="1">
        <v>255</v>
      </c>
    </row>
    <row r="30" spans="2:19" x14ac:dyDescent="0.25">
      <c r="G30">
        <v>24</v>
      </c>
      <c r="H30" s="1">
        <v>2.573</v>
      </c>
      <c r="N30" s="1">
        <v>5</v>
      </c>
      <c r="O30" s="1">
        <v>12</v>
      </c>
      <c r="P30" s="1">
        <v>18</v>
      </c>
      <c r="Q30" s="1">
        <v>1.5</v>
      </c>
      <c r="R30" s="1">
        <v>1.597</v>
      </c>
      <c r="S30" s="1">
        <v>255</v>
      </c>
    </row>
    <row r="31" spans="2:19" x14ac:dyDescent="0.25">
      <c r="G31">
        <v>25</v>
      </c>
      <c r="H31" s="1">
        <v>1.597</v>
      </c>
      <c r="N31" s="1">
        <v>6</v>
      </c>
      <c r="O31" s="1">
        <v>17</v>
      </c>
      <c r="P31" s="1">
        <v>23</v>
      </c>
      <c r="Q31" s="1">
        <v>1.353</v>
      </c>
      <c r="R31" s="1">
        <v>2.0409999999999999</v>
      </c>
      <c r="S31" s="1">
        <v>255</v>
      </c>
    </row>
    <row r="32" spans="2:19" x14ac:dyDescent="0.25">
      <c r="G32">
        <v>26</v>
      </c>
      <c r="H32" s="1">
        <v>2.0409999999999999</v>
      </c>
      <c r="N32" s="1">
        <v>7</v>
      </c>
      <c r="O32" s="1">
        <v>13</v>
      </c>
      <c r="P32" s="1">
        <v>18</v>
      </c>
      <c r="Q32" s="1">
        <v>1.385</v>
      </c>
      <c r="R32" s="1">
        <v>1.597</v>
      </c>
      <c r="S32" s="1">
        <v>255</v>
      </c>
    </row>
    <row r="33" spans="7:19" x14ac:dyDescent="0.25">
      <c r="G33">
        <v>27</v>
      </c>
      <c r="H33" s="1">
        <v>1.597</v>
      </c>
      <c r="N33" s="1">
        <v>8</v>
      </c>
      <c r="O33" s="1">
        <v>14</v>
      </c>
      <c r="P33" s="1">
        <v>30</v>
      </c>
      <c r="Q33" s="1">
        <v>2.1429999999999998</v>
      </c>
      <c r="R33" s="1">
        <v>2.6619999999999999</v>
      </c>
      <c r="S33" s="1">
        <v>255</v>
      </c>
    </row>
    <row r="34" spans="7:19" x14ac:dyDescent="0.25">
      <c r="G34">
        <v>28</v>
      </c>
      <c r="H34" s="1">
        <v>2.6619999999999999</v>
      </c>
      <c r="N34" s="1">
        <v>9</v>
      </c>
      <c r="O34" s="1">
        <v>18</v>
      </c>
      <c r="P34" s="1">
        <v>28</v>
      </c>
      <c r="Q34" s="1">
        <v>1.556</v>
      </c>
      <c r="R34" s="1">
        <v>2.484</v>
      </c>
      <c r="S34" s="1">
        <v>255</v>
      </c>
    </row>
    <row r="35" spans="7:19" x14ac:dyDescent="0.25">
      <c r="G35">
        <v>29</v>
      </c>
      <c r="H35" s="1">
        <v>2.484</v>
      </c>
      <c r="N35" s="1">
        <v>10</v>
      </c>
      <c r="O35" s="1">
        <v>14</v>
      </c>
      <c r="P35" s="1">
        <v>21</v>
      </c>
      <c r="Q35" s="1">
        <v>1.5</v>
      </c>
      <c r="R35" s="1">
        <v>1.863</v>
      </c>
      <c r="S35" s="1">
        <v>255</v>
      </c>
    </row>
    <row r="36" spans="7:19" x14ac:dyDescent="0.25">
      <c r="G36">
        <v>30</v>
      </c>
      <c r="H36" s="1">
        <v>1.863</v>
      </c>
      <c r="N36" s="1">
        <v>11</v>
      </c>
      <c r="O36" s="1">
        <v>14</v>
      </c>
      <c r="P36" s="1">
        <v>39</v>
      </c>
      <c r="Q36" s="1">
        <v>2.786</v>
      </c>
      <c r="R36" s="1">
        <v>3.4609999999999999</v>
      </c>
      <c r="S36" s="1">
        <v>255</v>
      </c>
    </row>
    <row r="37" spans="7:19" x14ac:dyDescent="0.25">
      <c r="G37">
        <v>31</v>
      </c>
      <c r="H37" s="1">
        <v>3.4609999999999999</v>
      </c>
      <c r="N37" s="1">
        <v>12</v>
      </c>
      <c r="O37" s="1">
        <v>20</v>
      </c>
      <c r="P37" s="1">
        <v>49</v>
      </c>
      <c r="Q37" s="1">
        <v>2.4500000000000002</v>
      </c>
      <c r="R37" s="1">
        <v>4.3479999999999999</v>
      </c>
      <c r="S37" s="1">
        <v>255</v>
      </c>
    </row>
    <row r="38" spans="7:19" x14ac:dyDescent="0.25">
      <c r="G38">
        <v>32</v>
      </c>
      <c r="H38" s="1">
        <v>4.3479999999999999</v>
      </c>
      <c r="N38" s="1">
        <v>13</v>
      </c>
      <c r="O38" s="1">
        <v>12</v>
      </c>
      <c r="P38" s="1">
        <v>24</v>
      </c>
      <c r="Q38" s="1">
        <v>2</v>
      </c>
      <c r="R38" s="1">
        <v>2.13</v>
      </c>
      <c r="S38" s="1">
        <v>255</v>
      </c>
    </row>
    <row r="39" spans="7:19" x14ac:dyDescent="0.25">
      <c r="G39">
        <v>33</v>
      </c>
      <c r="H39" s="1">
        <v>2.13</v>
      </c>
      <c r="N39" s="1">
        <v>14</v>
      </c>
      <c r="O39" s="1">
        <v>11</v>
      </c>
      <c r="P39" s="1">
        <v>16</v>
      </c>
      <c r="Q39" s="1">
        <v>1.4550000000000001</v>
      </c>
      <c r="R39" s="1">
        <v>1.42</v>
      </c>
      <c r="S39" s="1">
        <v>255</v>
      </c>
    </row>
    <row r="40" spans="7:19" x14ac:dyDescent="0.25">
      <c r="G40">
        <v>34</v>
      </c>
      <c r="H40" s="1">
        <v>1.42</v>
      </c>
      <c r="N40" s="1">
        <v>15</v>
      </c>
      <c r="O40" s="1">
        <v>17</v>
      </c>
      <c r="P40" s="1">
        <v>33</v>
      </c>
      <c r="Q40" s="1">
        <v>1.9410000000000001</v>
      </c>
      <c r="R40" s="1">
        <v>2.9279999999999999</v>
      </c>
      <c r="S40" s="1">
        <v>255</v>
      </c>
    </row>
    <row r="41" spans="7:19" x14ac:dyDescent="0.25">
      <c r="G41">
        <v>35</v>
      </c>
      <c r="H41" s="1">
        <v>2.9279999999999999</v>
      </c>
      <c r="N41" s="1">
        <v>16</v>
      </c>
      <c r="O41" s="1">
        <v>12</v>
      </c>
      <c r="P41" s="1">
        <v>20</v>
      </c>
      <c r="Q41" s="1">
        <v>1.667</v>
      </c>
      <c r="R41" s="1">
        <v>1.7749999999999999</v>
      </c>
      <c r="S41" s="1">
        <v>255</v>
      </c>
    </row>
    <row r="42" spans="7:19" x14ac:dyDescent="0.25">
      <c r="G42">
        <v>36</v>
      </c>
      <c r="H42" s="1">
        <v>1.7749999999999999</v>
      </c>
      <c r="N42" s="1">
        <v>17</v>
      </c>
      <c r="O42" s="1">
        <v>17</v>
      </c>
      <c r="P42" s="1">
        <v>32</v>
      </c>
      <c r="Q42" s="1">
        <v>1.8819999999999999</v>
      </c>
      <c r="R42" s="1">
        <v>2.839</v>
      </c>
      <c r="S42" s="1">
        <v>255</v>
      </c>
    </row>
    <row r="43" spans="7:19" x14ac:dyDescent="0.25">
      <c r="G43">
        <v>37</v>
      </c>
      <c r="H43" s="1">
        <v>2.839</v>
      </c>
      <c r="N43" s="1">
        <v>18</v>
      </c>
      <c r="O43" s="1">
        <v>23</v>
      </c>
      <c r="P43" s="1">
        <v>31</v>
      </c>
      <c r="Q43" s="1">
        <v>1.3480000000000001</v>
      </c>
      <c r="R43" s="1">
        <v>2.7509999999999999</v>
      </c>
      <c r="S43" s="1">
        <v>255</v>
      </c>
    </row>
    <row r="44" spans="7:19" x14ac:dyDescent="0.25">
      <c r="G44">
        <v>38</v>
      </c>
      <c r="H44" s="1">
        <v>2.7509999999999999</v>
      </c>
      <c r="N44" s="1">
        <v>19</v>
      </c>
      <c r="O44" s="1">
        <v>11</v>
      </c>
      <c r="P44" s="1">
        <v>18</v>
      </c>
      <c r="Q44" s="1">
        <v>1.6359999999999999</v>
      </c>
      <c r="R44" s="1">
        <v>1.597</v>
      </c>
      <c r="S44" s="1">
        <v>255</v>
      </c>
    </row>
    <row r="45" spans="7:19" x14ac:dyDescent="0.25">
      <c r="G45">
        <v>39</v>
      </c>
      <c r="H45" s="1">
        <v>1.597</v>
      </c>
      <c r="N45" s="1">
        <v>20</v>
      </c>
      <c r="O45" s="1">
        <v>11</v>
      </c>
      <c r="P45" s="1">
        <v>14</v>
      </c>
      <c r="Q45" s="1">
        <v>1.2729999999999999</v>
      </c>
      <c r="R45" s="1">
        <v>1.242</v>
      </c>
      <c r="S45" s="1">
        <v>255</v>
      </c>
    </row>
    <row r="46" spans="7:19" x14ac:dyDescent="0.25">
      <c r="G46">
        <v>40</v>
      </c>
      <c r="H46" s="1">
        <v>1.242</v>
      </c>
      <c r="N46" s="1">
        <v>1</v>
      </c>
      <c r="O46" s="1">
        <v>20</v>
      </c>
      <c r="P46" s="1">
        <v>33</v>
      </c>
      <c r="Q46" s="1">
        <v>1.65</v>
      </c>
      <c r="R46" s="1">
        <v>2.1469999999999998</v>
      </c>
      <c r="S46" s="1">
        <v>255</v>
      </c>
    </row>
    <row r="47" spans="7:19" x14ac:dyDescent="0.25">
      <c r="G47">
        <v>41</v>
      </c>
      <c r="H47" s="1">
        <v>2.1469999999999998</v>
      </c>
      <c r="N47" s="1">
        <v>2</v>
      </c>
      <c r="O47" s="1">
        <v>15</v>
      </c>
      <c r="P47" s="1">
        <v>28</v>
      </c>
      <c r="Q47" s="1">
        <v>1.867</v>
      </c>
      <c r="R47" s="1">
        <v>1.8220000000000001</v>
      </c>
      <c r="S47" s="1">
        <v>255</v>
      </c>
    </row>
    <row r="48" spans="7:19" x14ac:dyDescent="0.25">
      <c r="G48">
        <v>42</v>
      </c>
      <c r="H48" s="1">
        <v>1.8220000000000001</v>
      </c>
      <c r="N48" s="1">
        <v>3</v>
      </c>
      <c r="O48" s="1">
        <v>15</v>
      </c>
      <c r="P48" s="1">
        <v>22</v>
      </c>
      <c r="Q48" s="1">
        <v>1.4670000000000001</v>
      </c>
      <c r="R48" s="1">
        <v>1.431</v>
      </c>
      <c r="S48" s="1">
        <v>255</v>
      </c>
    </row>
    <row r="49" spans="7:19" x14ac:dyDescent="0.25">
      <c r="G49">
        <v>43</v>
      </c>
      <c r="H49" s="1">
        <v>1.431</v>
      </c>
      <c r="N49" s="1">
        <v>4</v>
      </c>
      <c r="O49" s="1">
        <v>15</v>
      </c>
      <c r="P49" s="1">
        <v>26</v>
      </c>
      <c r="Q49" s="1">
        <v>1.7330000000000001</v>
      </c>
      <c r="R49" s="1">
        <v>1.6919999999999999</v>
      </c>
      <c r="S49" s="1">
        <v>255</v>
      </c>
    </row>
    <row r="50" spans="7:19" x14ac:dyDescent="0.25">
      <c r="G50">
        <v>44</v>
      </c>
      <c r="H50" s="1">
        <v>1.6919999999999999</v>
      </c>
      <c r="N50" s="1">
        <v>5</v>
      </c>
      <c r="O50" s="1">
        <v>18</v>
      </c>
      <c r="P50" s="1">
        <v>41</v>
      </c>
      <c r="Q50" s="1">
        <v>2.278</v>
      </c>
      <c r="R50" s="1">
        <v>2.6680000000000001</v>
      </c>
      <c r="S50" s="1">
        <v>255</v>
      </c>
    </row>
    <row r="51" spans="7:19" x14ac:dyDescent="0.25">
      <c r="G51">
        <v>45</v>
      </c>
      <c r="H51" s="1">
        <v>2.6680000000000001</v>
      </c>
      <c r="N51" s="1">
        <v>6</v>
      </c>
      <c r="O51" s="1">
        <v>19</v>
      </c>
      <c r="P51" s="1">
        <v>28</v>
      </c>
      <c r="Q51" s="1">
        <v>1.474</v>
      </c>
      <c r="R51" s="1">
        <v>1.8220000000000001</v>
      </c>
      <c r="S51" s="1">
        <v>255</v>
      </c>
    </row>
    <row r="52" spans="7:19" x14ac:dyDescent="0.25">
      <c r="G52">
        <v>46</v>
      </c>
      <c r="H52" s="1">
        <v>1.8220000000000001</v>
      </c>
      <c r="N52" s="1">
        <v>7</v>
      </c>
      <c r="O52" s="1">
        <v>17</v>
      </c>
      <c r="P52" s="1">
        <v>30</v>
      </c>
      <c r="Q52" s="1">
        <v>1.7649999999999999</v>
      </c>
      <c r="R52" s="1">
        <v>1.952</v>
      </c>
      <c r="S52" s="1">
        <v>255</v>
      </c>
    </row>
    <row r="53" spans="7:19" x14ac:dyDescent="0.25">
      <c r="G53">
        <v>47</v>
      </c>
      <c r="H53" s="1">
        <v>1.952</v>
      </c>
      <c r="N53" s="1">
        <v>8</v>
      </c>
      <c r="O53" s="1">
        <v>23</v>
      </c>
      <c r="P53" s="1">
        <v>48</v>
      </c>
      <c r="Q53" s="1">
        <v>2.0870000000000002</v>
      </c>
      <c r="R53" s="1">
        <v>3.1230000000000002</v>
      </c>
      <c r="S53" s="1">
        <v>255</v>
      </c>
    </row>
    <row r="54" spans="7:19" x14ac:dyDescent="0.25">
      <c r="G54">
        <v>48</v>
      </c>
      <c r="H54" s="1">
        <v>3.1230000000000002</v>
      </c>
      <c r="N54" s="1">
        <v>9</v>
      </c>
      <c r="O54" s="1">
        <v>13</v>
      </c>
      <c r="P54" s="1">
        <v>23</v>
      </c>
      <c r="Q54" s="1">
        <v>1.7689999999999999</v>
      </c>
      <c r="R54" s="1">
        <v>1.496</v>
      </c>
      <c r="S54" s="1">
        <v>255</v>
      </c>
    </row>
    <row r="55" spans="7:19" x14ac:dyDescent="0.25">
      <c r="G55">
        <v>49</v>
      </c>
      <c r="H55" s="1">
        <v>1.496</v>
      </c>
      <c r="N55" s="1">
        <v>10</v>
      </c>
      <c r="O55" s="1">
        <v>21</v>
      </c>
      <c r="P55" s="1">
        <v>43</v>
      </c>
      <c r="Q55" s="1">
        <v>2.048</v>
      </c>
      <c r="R55" s="1">
        <v>2.798</v>
      </c>
      <c r="S55" s="1">
        <v>255</v>
      </c>
    </row>
    <row r="56" spans="7:19" x14ac:dyDescent="0.25">
      <c r="G56">
        <v>50</v>
      </c>
      <c r="H56" s="1">
        <v>2.798</v>
      </c>
      <c r="N56" s="1">
        <v>11</v>
      </c>
      <c r="O56" s="1">
        <v>22</v>
      </c>
      <c r="P56" s="1">
        <v>40</v>
      </c>
      <c r="Q56" s="1">
        <v>1.8180000000000001</v>
      </c>
      <c r="R56" s="1">
        <v>2.6019999999999999</v>
      </c>
      <c r="S56" s="1">
        <v>255</v>
      </c>
    </row>
    <row r="57" spans="7:19" x14ac:dyDescent="0.25">
      <c r="G57">
        <v>51</v>
      </c>
      <c r="H57" s="1">
        <v>2.6019999999999999</v>
      </c>
      <c r="N57" s="1">
        <v>12</v>
      </c>
      <c r="O57" s="1">
        <v>18</v>
      </c>
      <c r="P57" s="1">
        <v>38</v>
      </c>
      <c r="Q57" s="1">
        <v>2.1110000000000002</v>
      </c>
      <c r="R57" s="1">
        <v>2.472</v>
      </c>
      <c r="S57" s="1">
        <v>255</v>
      </c>
    </row>
    <row r="58" spans="7:19" x14ac:dyDescent="0.25">
      <c r="G58">
        <v>52</v>
      </c>
      <c r="H58" s="1">
        <v>2.472</v>
      </c>
      <c r="N58" s="1">
        <v>13</v>
      </c>
      <c r="O58" s="1">
        <v>19</v>
      </c>
      <c r="P58" s="1">
        <v>32</v>
      </c>
      <c r="Q58" s="1">
        <v>1.6839999999999999</v>
      </c>
      <c r="R58" s="1">
        <v>2.0819999999999999</v>
      </c>
      <c r="S58" s="1">
        <v>255</v>
      </c>
    </row>
    <row r="59" spans="7:19" x14ac:dyDescent="0.25">
      <c r="G59">
        <v>53</v>
      </c>
      <c r="H59" s="1">
        <v>2.0819999999999999</v>
      </c>
      <c r="N59" s="1">
        <v>14</v>
      </c>
      <c r="O59" s="1">
        <v>19</v>
      </c>
      <c r="P59" s="1">
        <v>32</v>
      </c>
      <c r="Q59" s="1">
        <v>1.6839999999999999</v>
      </c>
      <c r="R59" s="1">
        <v>2.0819999999999999</v>
      </c>
      <c r="S59" s="1">
        <v>255</v>
      </c>
    </row>
    <row r="60" spans="7:19" x14ac:dyDescent="0.25">
      <c r="G60">
        <v>54</v>
      </c>
      <c r="H60" s="1">
        <v>2.0819999999999999</v>
      </c>
      <c r="N60" s="1">
        <v>15</v>
      </c>
      <c r="O60" s="1">
        <v>18</v>
      </c>
      <c r="P60" s="1">
        <v>36</v>
      </c>
      <c r="Q60" s="1">
        <v>2</v>
      </c>
      <c r="R60" s="1">
        <v>2.3420000000000001</v>
      </c>
      <c r="S60" s="1">
        <v>255</v>
      </c>
    </row>
    <row r="61" spans="7:19" x14ac:dyDescent="0.25">
      <c r="G61">
        <v>55</v>
      </c>
      <c r="H61" s="1">
        <v>2.3420000000000001</v>
      </c>
      <c r="N61" s="1">
        <v>16</v>
      </c>
      <c r="O61" s="1">
        <v>7</v>
      </c>
      <c r="P61" s="1">
        <v>10</v>
      </c>
      <c r="Q61" s="1">
        <v>1.429</v>
      </c>
      <c r="R61" s="1">
        <v>0.65100000000000002</v>
      </c>
      <c r="S61" s="1">
        <v>255</v>
      </c>
    </row>
    <row r="62" spans="7:19" x14ac:dyDescent="0.25">
      <c r="G62">
        <v>56</v>
      </c>
      <c r="H62" s="1">
        <v>0.65100000000000002</v>
      </c>
      <c r="N62" s="1">
        <v>17</v>
      </c>
      <c r="O62" s="1">
        <v>22</v>
      </c>
      <c r="P62" s="1">
        <v>34</v>
      </c>
      <c r="Q62" s="1">
        <v>1.5449999999999999</v>
      </c>
      <c r="R62" s="1">
        <v>2.2120000000000002</v>
      </c>
      <c r="S62" s="1">
        <v>255</v>
      </c>
    </row>
    <row r="63" spans="7:19" x14ac:dyDescent="0.25">
      <c r="G63">
        <v>57</v>
      </c>
      <c r="H63" s="1">
        <v>2.2120000000000002</v>
      </c>
      <c r="N63" s="1">
        <v>18</v>
      </c>
      <c r="O63" s="1">
        <v>24</v>
      </c>
      <c r="P63" s="1">
        <v>44</v>
      </c>
      <c r="Q63" s="1">
        <v>1.833</v>
      </c>
      <c r="R63" s="1">
        <v>2.863</v>
      </c>
      <c r="S63" s="1">
        <v>255</v>
      </c>
    </row>
    <row r="64" spans="7:19" x14ac:dyDescent="0.25">
      <c r="G64">
        <v>58</v>
      </c>
      <c r="H64" s="1">
        <v>2.863</v>
      </c>
      <c r="N64" s="1">
        <v>19</v>
      </c>
      <c r="O64" s="1">
        <v>27</v>
      </c>
      <c r="P64" s="1">
        <v>57</v>
      </c>
      <c r="Q64" s="1">
        <v>2.1110000000000002</v>
      </c>
      <c r="R64" s="1">
        <v>3.7090000000000001</v>
      </c>
      <c r="S64" s="1">
        <v>255</v>
      </c>
    </row>
    <row r="65" spans="7:19" x14ac:dyDescent="0.25">
      <c r="G65">
        <v>59</v>
      </c>
      <c r="H65" s="1">
        <v>3.7090000000000001</v>
      </c>
      <c r="N65" s="1">
        <v>20</v>
      </c>
      <c r="O65" s="1">
        <v>19</v>
      </c>
      <c r="P65" s="1">
        <v>39</v>
      </c>
      <c r="Q65" s="1">
        <v>2.0529999999999999</v>
      </c>
      <c r="R65" s="1">
        <v>2.5369999999999999</v>
      </c>
      <c r="S65" s="1">
        <v>255</v>
      </c>
    </row>
    <row r="66" spans="7:19" x14ac:dyDescent="0.25">
      <c r="G66">
        <v>60</v>
      </c>
      <c r="H66" s="1">
        <v>2.5369999999999999</v>
      </c>
    </row>
  </sheetData>
  <mergeCells count="1">
    <mergeCell ref="B1:C1"/>
  </mergeCells>
  <pageMargins left="0.7" right="0.7" top="0.75" bottom="0.75" header="0.3" footer="0.3"/>
  <pageSetup orientation="portrait" r:id="rId1"/>
  <drawing r:id="rId2"/>
  <tableParts count="2">
    <tablePart r:id="rId3"/>
    <tablePart r:id="rId4"/>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6D2BA-41E6-C44E-88BB-1E0087E6479D}">
  <sheetPr codeName="Sheet19">
    <tabColor theme="7" tint="0.39997558519241921"/>
  </sheetPr>
  <dimension ref="B1:S66"/>
  <sheetViews>
    <sheetView zoomScaleNormal="100" workbookViewId="0">
      <selection activeCell="X51" sqref="X51"/>
    </sheetView>
  </sheetViews>
  <sheetFormatPr defaultColWidth="9.140625" defaultRowHeight="15" x14ac:dyDescent="0.25"/>
  <cols>
    <col min="1" max="1" width="3" style="1" customWidth="1"/>
    <col min="2" max="2" width="46" style="1" customWidth="1"/>
    <col min="3" max="3" width="27.140625" style="1" customWidth="1"/>
    <col min="4" max="5" width="3" style="1" customWidth="1"/>
    <col min="6" max="6" width="9.140625" style="1"/>
    <col min="7" max="7" width="36.28515625" style="1" bestFit="1" customWidth="1"/>
    <col min="8" max="8" width="14.85546875" style="1" bestFit="1" customWidth="1"/>
    <col min="9" max="9" width="9.140625" style="1"/>
    <col min="10" max="10" width="23" style="1" customWidth="1"/>
    <col min="11" max="16384" width="9.140625" style="1"/>
  </cols>
  <sheetData>
    <row r="1" spans="2:19" ht="23.25" x14ac:dyDescent="0.25">
      <c r="B1" s="18" t="s">
        <v>28</v>
      </c>
      <c r="C1" s="18"/>
    </row>
    <row r="2" spans="2:19" ht="20.25" thickBot="1" x14ac:dyDescent="0.35">
      <c r="B2" s="8" t="s">
        <v>20</v>
      </c>
    </row>
    <row r="3" spans="2:19" ht="45.75" customHeight="1" thickTop="1" x14ac:dyDescent="0.25">
      <c r="B3" s="5" t="s">
        <v>22</v>
      </c>
    </row>
    <row r="4" spans="2:19" x14ac:dyDescent="0.25">
      <c r="B4" s="5"/>
    </row>
    <row r="5" spans="2:19" x14ac:dyDescent="0.25">
      <c r="B5" t="s">
        <v>16</v>
      </c>
      <c r="C5" s="12" t="s">
        <v>73</v>
      </c>
      <c r="G5" t="s">
        <v>14</v>
      </c>
      <c r="H5" t="s">
        <v>15</v>
      </c>
    </row>
    <row r="6" spans="2:19" x14ac:dyDescent="0.25">
      <c r="B6" t="s">
        <v>17</v>
      </c>
      <c r="C6" s="2" t="s">
        <v>21</v>
      </c>
      <c r="G6" t="s">
        <v>11</v>
      </c>
      <c r="H6" t="s">
        <v>13</v>
      </c>
      <c r="J6" t="s">
        <v>58</v>
      </c>
      <c r="K6">
        <f>MAX(G7:G46)</f>
        <v>40</v>
      </c>
      <c r="N6" s="1">
        <v>1</v>
      </c>
      <c r="O6" s="1">
        <v>70</v>
      </c>
      <c r="P6" s="1">
        <v>126</v>
      </c>
      <c r="Q6" s="1">
        <v>1.8</v>
      </c>
      <c r="R6" s="1">
        <v>2.206</v>
      </c>
      <c r="S6" s="1">
        <v>255</v>
      </c>
    </row>
    <row r="7" spans="2:19" x14ac:dyDescent="0.25">
      <c r="B7" t="s">
        <v>18</v>
      </c>
      <c r="C7" s="6">
        <f ca="1">TODAY()</f>
        <v>45321</v>
      </c>
      <c r="G7">
        <v>1</v>
      </c>
      <c r="H7" s="1">
        <v>2.206</v>
      </c>
      <c r="J7" t="s">
        <v>59</v>
      </c>
      <c r="K7">
        <f>VLOOKUP(K6,confidence_95_multiplier1220222428303240[#All],2,FALSE)</f>
        <v>2.02</v>
      </c>
      <c r="N7" s="1">
        <v>2</v>
      </c>
      <c r="O7" s="1">
        <v>73</v>
      </c>
      <c r="P7" s="1">
        <v>142</v>
      </c>
      <c r="Q7" s="1">
        <v>1.9450000000000001</v>
      </c>
      <c r="R7" s="1">
        <v>2.4860000000000002</v>
      </c>
      <c r="S7" s="1">
        <v>255</v>
      </c>
    </row>
    <row r="8" spans="2:19" x14ac:dyDescent="0.25">
      <c r="G8">
        <v>2</v>
      </c>
      <c r="H8" s="1">
        <v>2.4860000000000002</v>
      </c>
      <c r="J8" t="s">
        <v>60</v>
      </c>
      <c r="K8">
        <f>AVERAGE(porosity_readings1119212327293139[x_i])</f>
        <v>3.0353750000000002</v>
      </c>
      <c r="N8" s="1">
        <v>3</v>
      </c>
      <c r="O8" s="1">
        <v>77</v>
      </c>
      <c r="P8" s="1">
        <v>138</v>
      </c>
      <c r="Q8" s="1">
        <v>1.792</v>
      </c>
      <c r="R8" s="1">
        <v>2.4159999999999999</v>
      </c>
      <c r="S8" s="1">
        <v>255</v>
      </c>
    </row>
    <row r="9" spans="2:19" x14ac:dyDescent="0.25">
      <c r="B9" t="s">
        <v>55</v>
      </c>
      <c r="C9" s="3">
        <v>1000</v>
      </c>
      <c r="G9">
        <v>3</v>
      </c>
      <c r="H9" s="1">
        <v>2.4159999999999999</v>
      </c>
      <c r="J9" t="s">
        <v>61</v>
      </c>
      <c r="K9">
        <f>_xlfn.STDEV.S(porosity_readings1119212327293139[x_i])</f>
        <v>1.1477448498619423</v>
      </c>
      <c r="N9" s="1">
        <v>4</v>
      </c>
      <c r="O9" s="1">
        <v>83</v>
      </c>
      <c r="P9" s="1">
        <v>148</v>
      </c>
      <c r="Q9" s="1">
        <v>1.7829999999999999</v>
      </c>
      <c r="R9" s="1">
        <v>2.5910000000000002</v>
      </c>
      <c r="S9" s="1">
        <v>255</v>
      </c>
    </row>
    <row r="10" spans="2:19" x14ac:dyDescent="0.25">
      <c r="B10" t="s">
        <v>26</v>
      </c>
      <c r="C10" s="11">
        <f>'SHVOF_0250X (with cracks)'!K8</f>
        <v>3.0353750000000002</v>
      </c>
      <c r="G10">
        <v>4</v>
      </c>
      <c r="H10" s="1">
        <v>2.5910000000000002</v>
      </c>
      <c r="J10" t="s">
        <v>62</v>
      </c>
      <c r="K10" s="7">
        <f>K9*K7/(SQRT(K6))</f>
        <v>0.36657827772746482</v>
      </c>
      <c r="N10" s="1">
        <v>5</v>
      </c>
      <c r="O10" s="1">
        <v>62</v>
      </c>
      <c r="P10" s="1">
        <v>114</v>
      </c>
      <c r="Q10" s="1">
        <v>1.839</v>
      </c>
      <c r="R10" s="1">
        <v>1.996</v>
      </c>
      <c r="S10" s="1">
        <v>255</v>
      </c>
    </row>
    <row r="11" spans="2:19" x14ac:dyDescent="0.25">
      <c r="B11" t="s">
        <v>25</v>
      </c>
      <c r="C11" s="9">
        <f>'SHVOF_0250X (with cracks)'!K12</f>
        <v>1.768</v>
      </c>
      <c r="G11">
        <v>5</v>
      </c>
      <c r="H11" s="1">
        <v>1.996</v>
      </c>
      <c r="J11" t="s">
        <v>63</v>
      </c>
      <c r="K11" s="7">
        <f>K10/K8</f>
        <v>0.12076869504672892</v>
      </c>
      <c r="N11" s="1">
        <v>6</v>
      </c>
      <c r="O11" s="1">
        <v>87</v>
      </c>
      <c r="P11" s="1">
        <v>176</v>
      </c>
      <c r="Q11" s="1">
        <v>2.0230000000000001</v>
      </c>
      <c r="R11" s="1">
        <v>3.081</v>
      </c>
      <c r="S11" s="1">
        <v>255</v>
      </c>
    </row>
    <row r="12" spans="2:19" x14ac:dyDescent="0.25">
      <c r="B12" t="s">
        <v>24</v>
      </c>
      <c r="C12" s="9">
        <f>'SHVOF_0250X (with cracks)'!K13</f>
        <v>7.4710000000000001</v>
      </c>
      <c r="G12">
        <v>6</v>
      </c>
      <c r="H12" s="1">
        <v>3.081</v>
      </c>
      <c r="J12" t="s">
        <v>64</v>
      </c>
      <c r="K12">
        <f>MIN(porosity_readings1119212327293139[x_i])</f>
        <v>1.768</v>
      </c>
      <c r="N12" s="1">
        <v>7</v>
      </c>
      <c r="O12" s="1">
        <v>85</v>
      </c>
      <c r="P12" s="1">
        <v>163</v>
      </c>
      <c r="Q12" s="1">
        <v>1.9179999999999999</v>
      </c>
      <c r="R12" s="1">
        <v>2.8540000000000001</v>
      </c>
      <c r="S12" s="1">
        <v>255</v>
      </c>
    </row>
    <row r="13" spans="2:19" x14ac:dyDescent="0.25">
      <c r="B13" t="s">
        <v>12</v>
      </c>
      <c r="C13" s="11">
        <f>'SHVOF_0250X (with cracks)'!K9</f>
        <v>1.1477448498619423</v>
      </c>
      <c r="G13">
        <v>7</v>
      </c>
      <c r="H13" s="1">
        <v>2.8540000000000001</v>
      </c>
      <c r="J13" t="s">
        <v>65</v>
      </c>
      <c r="K13">
        <f>MAX(porosity_readings1119212327293139[x_i])</f>
        <v>7.4710000000000001</v>
      </c>
      <c r="N13" s="1">
        <v>8</v>
      </c>
      <c r="O13" s="1">
        <v>84</v>
      </c>
      <c r="P13" s="1">
        <v>169</v>
      </c>
      <c r="Q13" s="1">
        <v>2.012</v>
      </c>
      <c r="R13" s="1">
        <v>2.9590000000000001</v>
      </c>
      <c r="S13" s="1">
        <v>255</v>
      </c>
    </row>
    <row r="14" spans="2:19" x14ac:dyDescent="0.25">
      <c r="B14" t="s">
        <v>19</v>
      </c>
      <c r="C14" s="10">
        <f>'SHVOF_0250X (with cracks)'!K10</f>
        <v>0.36657827772746482</v>
      </c>
      <c r="G14">
        <v>8</v>
      </c>
      <c r="H14" s="1">
        <v>2.9590000000000001</v>
      </c>
      <c r="N14" s="1">
        <v>9</v>
      </c>
      <c r="O14" s="1">
        <v>101</v>
      </c>
      <c r="P14" s="1">
        <v>213</v>
      </c>
      <c r="Q14" s="1">
        <v>2.109</v>
      </c>
      <c r="R14" s="1">
        <v>3.7290000000000001</v>
      </c>
      <c r="S14" s="1">
        <v>255</v>
      </c>
    </row>
    <row r="15" spans="2:19" x14ac:dyDescent="0.25">
      <c r="B15" t="s">
        <v>27</v>
      </c>
      <c r="C15" s="14">
        <f>'SHVOF_0250X (with cracks)'!K11</f>
        <v>0.12076869504672892</v>
      </c>
      <c r="G15">
        <v>9</v>
      </c>
      <c r="H15" s="1">
        <v>3.7290000000000001</v>
      </c>
      <c r="J15" t="s">
        <v>5</v>
      </c>
      <c r="K15"/>
      <c r="N15" s="1">
        <v>10</v>
      </c>
      <c r="O15" s="1">
        <v>57</v>
      </c>
      <c r="P15" s="1">
        <v>101</v>
      </c>
      <c r="Q15" s="1">
        <v>1.772</v>
      </c>
      <c r="R15" s="1">
        <v>1.768</v>
      </c>
      <c r="S15" s="1">
        <v>255</v>
      </c>
    </row>
    <row r="16" spans="2:19" x14ac:dyDescent="0.25">
      <c r="B16" t="s">
        <v>23</v>
      </c>
      <c r="C16" s="2">
        <f>'SHVOF_0250X (with cracks)'!K6</f>
        <v>40</v>
      </c>
      <c r="G16">
        <v>10</v>
      </c>
      <c r="H16" s="1">
        <v>1.768</v>
      </c>
      <c r="J16" t="s">
        <v>3</v>
      </c>
      <c r="K16" t="s">
        <v>4</v>
      </c>
      <c r="N16" s="1">
        <v>11</v>
      </c>
      <c r="O16" s="1">
        <v>80</v>
      </c>
      <c r="P16" s="1">
        <v>161</v>
      </c>
      <c r="Q16" s="1">
        <v>2.0129999999999999</v>
      </c>
      <c r="R16" s="1">
        <v>2.819</v>
      </c>
      <c r="S16" s="1">
        <v>255</v>
      </c>
    </row>
    <row r="17" spans="2:19" x14ac:dyDescent="0.25">
      <c r="G17">
        <v>11</v>
      </c>
      <c r="H17" s="1">
        <v>2.819</v>
      </c>
      <c r="J17">
        <v>20</v>
      </c>
      <c r="K17">
        <v>2.093</v>
      </c>
      <c r="N17" s="1">
        <v>12</v>
      </c>
      <c r="O17" s="1">
        <v>105</v>
      </c>
      <c r="P17" s="1">
        <v>217</v>
      </c>
      <c r="Q17" s="1">
        <v>2.0670000000000002</v>
      </c>
      <c r="R17" s="1">
        <v>3.7989999999999999</v>
      </c>
      <c r="S17" s="1">
        <v>255</v>
      </c>
    </row>
    <row r="18" spans="2:19" x14ac:dyDescent="0.25">
      <c r="B18" s="1" t="s">
        <v>66</v>
      </c>
      <c r="C18" s="3">
        <v>0</v>
      </c>
      <c r="G18">
        <v>12</v>
      </c>
      <c r="H18" s="1">
        <v>3.7989999999999999</v>
      </c>
      <c r="J18">
        <v>21</v>
      </c>
      <c r="K18">
        <v>2.0859999999999999</v>
      </c>
      <c r="N18" s="1">
        <v>13</v>
      </c>
      <c r="O18" s="1">
        <v>75</v>
      </c>
      <c r="P18" s="1">
        <v>137</v>
      </c>
      <c r="Q18" s="1">
        <v>1.827</v>
      </c>
      <c r="R18" s="1">
        <v>2.3980000000000001</v>
      </c>
      <c r="S18" s="1">
        <v>255</v>
      </c>
    </row>
    <row r="19" spans="2:19" x14ac:dyDescent="0.25">
      <c r="B19" s="1" t="s">
        <v>53</v>
      </c>
      <c r="C19" s="2">
        <v>0</v>
      </c>
      <c r="G19">
        <v>13</v>
      </c>
      <c r="H19" s="1">
        <v>2.3980000000000001</v>
      </c>
      <c r="J19">
        <v>22</v>
      </c>
      <c r="K19">
        <v>2.08</v>
      </c>
      <c r="N19" s="1">
        <v>14</v>
      </c>
      <c r="O19" s="1">
        <v>100</v>
      </c>
      <c r="P19" s="1">
        <v>193</v>
      </c>
      <c r="Q19" s="1">
        <v>1.93</v>
      </c>
      <c r="R19" s="1">
        <v>3.379</v>
      </c>
      <c r="S19" s="1">
        <v>255</v>
      </c>
    </row>
    <row r="20" spans="2:19" x14ac:dyDescent="0.25">
      <c r="B20" s="1" t="s">
        <v>54</v>
      </c>
      <c r="C20" s="2">
        <v>130</v>
      </c>
      <c r="G20">
        <v>14</v>
      </c>
      <c r="H20" s="1">
        <v>3.379</v>
      </c>
      <c r="J20">
        <v>23</v>
      </c>
      <c r="K20">
        <v>2.0739999999999998</v>
      </c>
      <c r="N20" s="1">
        <v>15</v>
      </c>
      <c r="O20" s="1">
        <v>68</v>
      </c>
      <c r="P20" s="1">
        <v>130</v>
      </c>
      <c r="Q20" s="1">
        <v>1.9119999999999999</v>
      </c>
      <c r="R20" s="1">
        <v>2.2759999999999998</v>
      </c>
      <c r="S20" s="1">
        <v>255</v>
      </c>
    </row>
    <row r="21" spans="2:19" x14ac:dyDescent="0.25">
      <c r="G21">
        <v>15</v>
      </c>
      <c r="H21" s="1">
        <v>2.2759999999999998</v>
      </c>
      <c r="J21">
        <v>24</v>
      </c>
      <c r="K21">
        <v>2.069</v>
      </c>
      <c r="N21" s="1">
        <v>16</v>
      </c>
      <c r="O21" s="1">
        <v>74</v>
      </c>
      <c r="P21" s="1">
        <v>143</v>
      </c>
      <c r="Q21" s="1">
        <v>1.9319999999999999</v>
      </c>
      <c r="R21" s="1">
        <v>2.504</v>
      </c>
      <c r="S21" s="1">
        <v>255</v>
      </c>
    </row>
    <row r="22" spans="2:19" x14ac:dyDescent="0.25">
      <c r="G22">
        <v>16</v>
      </c>
      <c r="H22" s="1">
        <v>2.504</v>
      </c>
      <c r="J22">
        <v>25</v>
      </c>
      <c r="K22">
        <v>2.0640000000000001</v>
      </c>
      <c r="N22" s="1">
        <v>17</v>
      </c>
      <c r="O22" s="1">
        <v>86</v>
      </c>
      <c r="P22" s="1">
        <v>193</v>
      </c>
      <c r="Q22" s="1">
        <v>2.2440000000000002</v>
      </c>
      <c r="R22" s="1">
        <v>3.379</v>
      </c>
      <c r="S22" s="1">
        <v>255</v>
      </c>
    </row>
    <row r="23" spans="2:19" x14ac:dyDescent="0.25">
      <c r="C23" s="4"/>
      <c r="G23">
        <v>17</v>
      </c>
      <c r="H23" s="1">
        <v>3.379</v>
      </c>
      <c r="J23">
        <v>26</v>
      </c>
      <c r="K23">
        <v>2.06</v>
      </c>
      <c r="N23" s="1">
        <v>18</v>
      </c>
      <c r="O23" s="1">
        <v>66</v>
      </c>
      <c r="P23" s="1">
        <v>137</v>
      </c>
      <c r="Q23" s="1">
        <v>2.0760000000000001</v>
      </c>
      <c r="R23" s="1">
        <v>2.3980000000000001</v>
      </c>
      <c r="S23" s="1">
        <v>255</v>
      </c>
    </row>
    <row r="24" spans="2:19" x14ac:dyDescent="0.25">
      <c r="G24">
        <v>18</v>
      </c>
      <c r="H24" s="1">
        <v>2.3980000000000001</v>
      </c>
      <c r="J24">
        <v>27</v>
      </c>
      <c r="K24">
        <v>2.056</v>
      </c>
      <c r="N24" s="1">
        <v>19</v>
      </c>
      <c r="O24" s="1">
        <v>64</v>
      </c>
      <c r="P24" s="1">
        <v>147</v>
      </c>
      <c r="Q24" s="1">
        <v>2.2970000000000002</v>
      </c>
      <c r="R24" s="1">
        <v>2.5739999999999998</v>
      </c>
      <c r="S24" s="1">
        <v>255</v>
      </c>
    </row>
    <row r="25" spans="2:19" x14ac:dyDescent="0.25">
      <c r="G25">
        <v>19</v>
      </c>
      <c r="H25" s="1">
        <v>2.5739999999999998</v>
      </c>
      <c r="J25">
        <v>28</v>
      </c>
      <c r="K25">
        <v>2.052</v>
      </c>
      <c r="N25" s="1">
        <v>20</v>
      </c>
      <c r="O25" s="1">
        <v>83</v>
      </c>
      <c r="P25" s="1">
        <v>130</v>
      </c>
      <c r="Q25" s="1">
        <v>1.5660000000000001</v>
      </c>
      <c r="R25" s="1">
        <v>2.2759999999999998</v>
      </c>
      <c r="S25" s="1">
        <v>255</v>
      </c>
    </row>
    <row r="26" spans="2:19" x14ac:dyDescent="0.25">
      <c r="G26">
        <v>20</v>
      </c>
      <c r="H26" s="1">
        <v>2.2759999999999998</v>
      </c>
      <c r="J26">
        <v>29</v>
      </c>
      <c r="K26">
        <v>2.048</v>
      </c>
      <c r="N26" s="1">
        <v>1</v>
      </c>
      <c r="O26" s="1">
        <v>58</v>
      </c>
      <c r="P26" s="1">
        <v>99</v>
      </c>
      <c r="Q26" s="1">
        <v>1.7070000000000001</v>
      </c>
      <c r="R26" s="1">
        <v>1.9410000000000001</v>
      </c>
      <c r="S26" s="1">
        <v>255</v>
      </c>
    </row>
    <row r="27" spans="2:19" x14ac:dyDescent="0.25">
      <c r="G27">
        <v>21</v>
      </c>
      <c r="H27" s="1">
        <v>1.9410000000000001</v>
      </c>
      <c r="J27">
        <v>30</v>
      </c>
      <c r="K27">
        <v>2.0449999999999999</v>
      </c>
      <c r="N27" s="1">
        <v>2</v>
      </c>
      <c r="O27" s="1">
        <v>96</v>
      </c>
      <c r="P27" s="1">
        <v>236</v>
      </c>
      <c r="Q27" s="1">
        <v>2.4580000000000002</v>
      </c>
      <c r="R27" s="1">
        <v>4.6269999999999998</v>
      </c>
      <c r="S27" s="1">
        <v>255</v>
      </c>
    </row>
    <row r="28" spans="2:19" x14ac:dyDescent="0.25">
      <c r="G28">
        <v>22</v>
      </c>
      <c r="H28" s="1">
        <v>4.6269999999999998</v>
      </c>
      <c r="J28">
        <v>40</v>
      </c>
      <c r="K28">
        <v>2.02</v>
      </c>
      <c r="N28" s="1">
        <v>3</v>
      </c>
      <c r="O28" s="1">
        <v>61</v>
      </c>
      <c r="P28" s="1">
        <v>109</v>
      </c>
      <c r="Q28" s="1">
        <v>1.7869999999999999</v>
      </c>
      <c r="R28" s="1">
        <v>2.137</v>
      </c>
      <c r="S28" s="1">
        <v>255</v>
      </c>
    </row>
    <row r="29" spans="2:19" x14ac:dyDescent="0.25">
      <c r="G29">
        <v>23</v>
      </c>
      <c r="H29" s="1">
        <v>2.137</v>
      </c>
      <c r="J29">
        <v>60</v>
      </c>
      <c r="K29">
        <v>2</v>
      </c>
      <c r="N29" s="1">
        <v>4</v>
      </c>
      <c r="O29" s="1">
        <v>56</v>
      </c>
      <c r="P29" s="1">
        <v>119</v>
      </c>
      <c r="Q29" s="1">
        <v>2.125</v>
      </c>
      <c r="R29" s="1">
        <v>2.3330000000000002</v>
      </c>
      <c r="S29" s="1">
        <v>255</v>
      </c>
    </row>
    <row r="30" spans="2:19" x14ac:dyDescent="0.25">
      <c r="G30">
        <v>24</v>
      </c>
      <c r="H30" s="1">
        <v>2.3330000000000002</v>
      </c>
      <c r="N30" s="1">
        <v>5</v>
      </c>
      <c r="O30" s="1">
        <v>64</v>
      </c>
      <c r="P30" s="1">
        <v>118</v>
      </c>
      <c r="Q30" s="1">
        <v>1.8440000000000001</v>
      </c>
      <c r="R30" s="1">
        <v>2.3140000000000001</v>
      </c>
      <c r="S30" s="1">
        <v>255</v>
      </c>
    </row>
    <row r="31" spans="2:19" x14ac:dyDescent="0.25">
      <c r="G31">
        <v>25</v>
      </c>
      <c r="H31" s="1">
        <v>2.3140000000000001</v>
      </c>
      <c r="N31" s="1">
        <v>6</v>
      </c>
      <c r="O31" s="1">
        <v>66</v>
      </c>
      <c r="P31" s="1">
        <v>124</v>
      </c>
      <c r="Q31" s="1">
        <v>1.879</v>
      </c>
      <c r="R31" s="1">
        <v>2.431</v>
      </c>
      <c r="S31" s="1">
        <v>255</v>
      </c>
    </row>
    <row r="32" spans="2:19" x14ac:dyDescent="0.25">
      <c r="G32">
        <v>26</v>
      </c>
      <c r="H32" s="1">
        <v>2.431</v>
      </c>
      <c r="N32" s="1">
        <v>7</v>
      </c>
      <c r="O32" s="1">
        <v>99</v>
      </c>
      <c r="P32" s="1">
        <v>306</v>
      </c>
      <c r="Q32" s="1">
        <v>3.0910000000000002</v>
      </c>
      <c r="R32" s="1">
        <v>6</v>
      </c>
      <c r="S32" s="1">
        <v>255</v>
      </c>
    </row>
    <row r="33" spans="7:19" x14ac:dyDescent="0.25">
      <c r="G33">
        <v>27</v>
      </c>
      <c r="H33" s="1">
        <v>6</v>
      </c>
      <c r="N33" s="1">
        <v>8</v>
      </c>
      <c r="O33" s="1">
        <v>59</v>
      </c>
      <c r="P33" s="1">
        <v>105</v>
      </c>
      <c r="Q33" s="1">
        <v>1.78</v>
      </c>
      <c r="R33" s="1">
        <v>2.0590000000000002</v>
      </c>
      <c r="S33" s="1">
        <v>255</v>
      </c>
    </row>
    <row r="34" spans="7:19" x14ac:dyDescent="0.25">
      <c r="G34">
        <v>28</v>
      </c>
      <c r="H34" s="1">
        <v>2.0590000000000002</v>
      </c>
      <c r="N34" s="1">
        <v>9</v>
      </c>
      <c r="O34" s="1">
        <v>77</v>
      </c>
      <c r="P34" s="1">
        <v>170</v>
      </c>
      <c r="Q34" s="1">
        <v>2.2080000000000002</v>
      </c>
      <c r="R34" s="1">
        <v>3.3330000000000002</v>
      </c>
      <c r="S34" s="1">
        <v>255</v>
      </c>
    </row>
    <row r="35" spans="7:19" x14ac:dyDescent="0.25">
      <c r="G35">
        <v>29</v>
      </c>
      <c r="H35" s="1">
        <v>3.3330000000000002</v>
      </c>
      <c r="N35" s="1">
        <v>10</v>
      </c>
      <c r="O35" s="1">
        <v>62</v>
      </c>
      <c r="P35" s="1">
        <v>107</v>
      </c>
      <c r="Q35" s="1">
        <v>1.726</v>
      </c>
      <c r="R35" s="1">
        <v>2.0979999999999999</v>
      </c>
      <c r="S35" s="1">
        <v>255</v>
      </c>
    </row>
    <row r="36" spans="7:19" x14ac:dyDescent="0.25">
      <c r="G36">
        <v>30</v>
      </c>
      <c r="H36" s="1">
        <v>2.0979999999999999</v>
      </c>
      <c r="N36" s="1">
        <v>11</v>
      </c>
      <c r="O36" s="1">
        <v>74</v>
      </c>
      <c r="P36" s="1">
        <v>124</v>
      </c>
      <c r="Q36" s="1">
        <v>1.6759999999999999</v>
      </c>
      <c r="R36" s="1">
        <v>2.431</v>
      </c>
      <c r="S36" s="1">
        <v>255</v>
      </c>
    </row>
    <row r="37" spans="7:19" x14ac:dyDescent="0.25">
      <c r="G37">
        <v>31</v>
      </c>
      <c r="H37" s="1">
        <v>2.431</v>
      </c>
      <c r="N37" s="1">
        <v>12</v>
      </c>
      <c r="O37" s="1">
        <v>107</v>
      </c>
      <c r="P37" s="1">
        <v>381</v>
      </c>
      <c r="Q37" s="1">
        <v>3.5609999999999999</v>
      </c>
      <c r="R37" s="1">
        <v>7.4710000000000001</v>
      </c>
      <c r="S37" s="1">
        <v>255</v>
      </c>
    </row>
    <row r="38" spans="7:19" x14ac:dyDescent="0.25">
      <c r="G38">
        <v>32</v>
      </c>
      <c r="H38" s="1">
        <v>7.4710000000000001</v>
      </c>
      <c r="N38" s="1">
        <v>13</v>
      </c>
      <c r="O38" s="1">
        <v>61</v>
      </c>
      <c r="P38" s="1">
        <v>104</v>
      </c>
      <c r="Q38" s="1">
        <v>1.7050000000000001</v>
      </c>
      <c r="R38" s="1">
        <v>2.0390000000000001</v>
      </c>
      <c r="S38" s="1">
        <v>255</v>
      </c>
    </row>
    <row r="39" spans="7:19" x14ac:dyDescent="0.25">
      <c r="G39">
        <v>33</v>
      </c>
      <c r="H39" s="1">
        <v>2.0390000000000001</v>
      </c>
      <c r="N39" s="1">
        <v>14</v>
      </c>
      <c r="O39" s="1">
        <v>101</v>
      </c>
      <c r="P39" s="1">
        <v>222</v>
      </c>
      <c r="Q39" s="1">
        <v>2.198</v>
      </c>
      <c r="R39" s="1">
        <v>4.3529999999999998</v>
      </c>
      <c r="S39" s="1">
        <v>255</v>
      </c>
    </row>
    <row r="40" spans="7:19" x14ac:dyDescent="0.25">
      <c r="G40">
        <v>34</v>
      </c>
      <c r="H40" s="1">
        <v>4.3529999999999998</v>
      </c>
      <c r="N40" s="1">
        <v>15</v>
      </c>
      <c r="O40" s="1">
        <v>105</v>
      </c>
      <c r="P40" s="1">
        <v>201</v>
      </c>
      <c r="Q40" s="1">
        <v>1.9139999999999999</v>
      </c>
      <c r="R40" s="1">
        <v>3.9409999999999998</v>
      </c>
      <c r="S40" s="1">
        <v>255</v>
      </c>
    </row>
    <row r="41" spans="7:19" x14ac:dyDescent="0.25">
      <c r="G41">
        <v>35</v>
      </c>
      <c r="H41" s="1">
        <v>3.9409999999999998</v>
      </c>
      <c r="N41" s="1">
        <v>16</v>
      </c>
      <c r="O41" s="1">
        <v>86</v>
      </c>
      <c r="P41" s="1">
        <v>170</v>
      </c>
      <c r="Q41" s="1">
        <v>1.9770000000000001</v>
      </c>
      <c r="R41" s="1">
        <v>3.3330000000000002</v>
      </c>
      <c r="S41" s="1">
        <v>255</v>
      </c>
    </row>
    <row r="42" spans="7:19" x14ac:dyDescent="0.25">
      <c r="G42">
        <v>36</v>
      </c>
      <c r="H42" s="1">
        <v>3.3330000000000002</v>
      </c>
      <c r="N42" s="1">
        <v>17</v>
      </c>
      <c r="O42" s="1">
        <v>99</v>
      </c>
      <c r="P42" s="1">
        <v>202</v>
      </c>
      <c r="Q42" s="1">
        <v>2.04</v>
      </c>
      <c r="R42" s="1">
        <v>3.9609999999999999</v>
      </c>
      <c r="S42" s="1">
        <v>255</v>
      </c>
    </row>
    <row r="43" spans="7:19" x14ac:dyDescent="0.25">
      <c r="G43">
        <v>37</v>
      </c>
      <c r="H43" s="1">
        <v>3.9609999999999999</v>
      </c>
      <c r="N43" s="1">
        <v>18</v>
      </c>
      <c r="O43" s="1">
        <v>76</v>
      </c>
      <c r="P43" s="1">
        <v>137</v>
      </c>
      <c r="Q43" s="1">
        <v>1.8029999999999999</v>
      </c>
      <c r="R43" s="1">
        <v>2.6859999999999999</v>
      </c>
      <c r="S43" s="1">
        <v>255</v>
      </c>
    </row>
    <row r="44" spans="7:19" x14ac:dyDescent="0.25">
      <c r="G44">
        <v>38</v>
      </c>
      <c r="H44" s="1">
        <v>2.6859999999999999</v>
      </c>
      <c r="N44" s="1">
        <v>19</v>
      </c>
      <c r="O44" s="1">
        <v>76</v>
      </c>
      <c r="P44" s="1">
        <v>197</v>
      </c>
      <c r="Q44" s="1">
        <v>2.5920000000000001</v>
      </c>
      <c r="R44" s="1">
        <v>3.863</v>
      </c>
      <c r="S44" s="1">
        <v>255</v>
      </c>
    </row>
    <row r="45" spans="7:19" x14ac:dyDescent="0.25">
      <c r="G45">
        <v>39</v>
      </c>
      <c r="H45" s="1">
        <v>3.863</v>
      </c>
      <c r="N45" s="1">
        <v>20</v>
      </c>
      <c r="O45" s="1">
        <v>80</v>
      </c>
      <c r="P45" s="1">
        <v>213</v>
      </c>
      <c r="Q45" s="1">
        <v>2.6629999999999998</v>
      </c>
      <c r="R45" s="1">
        <v>4.1760000000000002</v>
      </c>
      <c r="S45" s="1">
        <v>255</v>
      </c>
    </row>
    <row r="46" spans="7:19" x14ac:dyDescent="0.25">
      <c r="G46">
        <v>40</v>
      </c>
      <c r="H46" s="1">
        <v>4.1760000000000002</v>
      </c>
    </row>
    <row r="47" spans="7:19" x14ac:dyDescent="0.25">
      <c r="G47"/>
    </row>
    <row r="48" spans="7:19" x14ac:dyDescent="0.25">
      <c r="G48"/>
    </row>
    <row r="49" spans="7:7" x14ac:dyDescent="0.25">
      <c r="G49"/>
    </row>
    <row r="50" spans="7:7" x14ac:dyDescent="0.25">
      <c r="G50"/>
    </row>
    <row r="51" spans="7:7" x14ac:dyDescent="0.25">
      <c r="G51"/>
    </row>
    <row r="52" spans="7:7" x14ac:dyDescent="0.25">
      <c r="G52"/>
    </row>
    <row r="53" spans="7:7" x14ac:dyDescent="0.25">
      <c r="G53"/>
    </row>
    <row r="54" spans="7:7" x14ac:dyDescent="0.25">
      <c r="G54"/>
    </row>
    <row r="55" spans="7:7" x14ac:dyDescent="0.25">
      <c r="G55"/>
    </row>
    <row r="56" spans="7:7" x14ac:dyDescent="0.25">
      <c r="G56"/>
    </row>
    <row r="57" spans="7:7" x14ac:dyDescent="0.25">
      <c r="G57"/>
    </row>
    <row r="58" spans="7:7" x14ac:dyDescent="0.25">
      <c r="G58"/>
    </row>
    <row r="59" spans="7:7" x14ac:dyDescent="0.25">
      <c r="G59"/>
    </row>
    <row r="60" spans="7:7" x14ac:dyDescent="0.25">
      <c r="G60"/>
    </row>
    <row r="61" spans="7:7" x14ac:dyDescent="0.25">
      <c r="G61"/>
    </row>
    <row r="62" spans="7:7" x14ac:dyDescent="0.25">
      <c r="G62"/>
    </row>
    <row r="63" spans="7:7" x14ac:dyDescent="0.25">
      <c r="G63"/>
    </row>
    <row r="64" spans="7:7" x14ac:dyDescent="0.25">
      <c r="G64"/>
    </row>
    <row r="65" spans="7:7" x14ac:dyDescent="0.25">
      <c r="G65"/>
    </row>
    <row r="66" spans="7:7" x14ac:dyDescent="0.25">
      <c r="G66"/>
    </row>
  </sheetData>
  <mergeCells count="1">
    <mergeCell ref="B1:C1"/>
  </mergeCells>
  <pageMargins left="0.7" right="0.7" top="0.75" bottom="0.75" header="0.3" footer="0.3"/>
  <pageSetup orientation="portrait" r:id="rId1"/>
  <drawing r:id="rId2"/>
  <tableParts count="2">
    <tablePart r:id="rId3"/>
    <tablePart r:id="rId4"/>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926E1-942B-0F43-B976-CB287B7897FD}">
  <sheetPr codeName="Sheet3">
    <tabColor theme="0" tint="-0.249977111117893"/>
  </sheetPr>
  <dimension ref="B1:S56"/>
  <sheetViews>
    <sheetView zoomScaleNormal="100" workbookViewId="0">
      <selection activeCell="G45" sqref="G45"/>
    </sheetView>
  </sheetViews>
  <sheetFormatPr defaultColWidth="9.140625" defaultRowHeight="15" x14ac:dyDescent="0.25"/>
  <cols>
    <col min="1" max="1" width="3" style="1" customWidth="1"/>
    <col min="2" max="2" width="46" style="1" customWidth="1"/>
    <col min="3" max="3" width="27.140625" style="1" customWidth="1"/>
    <col min="4" max="5" width="3" style="1" customWidth="1"/>
    <col min="6" max="6" width="9.140625" style="1"/>
    <col min="7" max="7" width="36.28515625" style="1" bestFit="1" customWidth="1"/>
    <col min="8" max="8" width="14.85546875" style="1" bestFit="1" customWidth="1"/>
    <col min="9" max="9" width="9.140625" style="1"/>
    <col min="10" max="10" width="23" style="1" customWidth="1"/>
    <col min="11" max="16384" width="9.140625" style="1"/>
  </cols>
  <sheetData>
    <row r="1" spans="2:19" ht="23.25" x14ac:dyDescent="0.25">
      <c r="B1" s="18" t="s">
        <v>28</v>
      </c>
      <c r="C1" s="18"/>
    </row>
    <row r="2" spans="2:19" ht="20.25" thickBot="1" x14ac:dyDescent="0.35">
      <c r="B2" s="8" t="s">
        <v>20</v>
      </c>
    </row>
    <row r="3" spans="2:19" ht="45.75" customHeight="1" thickTop="1" x14ac:dyDescent="0.25">
      <c r="B3" s="5" t="s">
        <v>22</v>
      </c>
    </row>
    <row r="4" spans="2:19" x14ac:dyDescent="0.25">
      <c r="B4" s="5"/>
    </row>
    <row r="5" spans="2:19" x14ac:dyDescent="0.25">
      <c r="B5" t="s">
        <v>16</v>
      </c>
      <c r="C5" s="12" t="s">
        <v>69</v>
      </c>
      <c r="G5" t="s">
        <v>14</v>
      </c>
      <c r="H5" t="s">
        <v>15</v>
      </c>
    </row>
    <row r="6" spans="2:19" x14ac:dyDescent="0.25">
      <c r="B6" t="s">
        <v>17</v>
      </c>
      <c r="C6" s="2" t="s">
        <v>21</v>
      </c>
      <c r="G6" t="s">
        <v>11</v>
      </c>
      <c r="H6" t="s">
        <v>13</v>
      </c>
      <c r="J6" t="s">
        <v>58</v>
      </c>
      <c r="K6">
        <f>MAX(G7:G31)</f>
        <v>25</v>
      </c>
      <c r="N6" s="1">
        <v>1</v>
      </c>
      <c r="O6" s="1">
        <v>52</v>
      </c>
      <c r="P6" s="1">
        <v>87</v>
      </c>
      <c r="Q6" s="1">
        <v>1.673</v>
      </c>
      <c r="R6" s="1">
        <v>3.2810000000000001</v>
      </c>
      <c r="S6" s="1">
        <v>255</v>
      </c>
    </row>
    <row r="7" spans="2:19" x14ac:dyDescent="0.25">
      <c r="B7" t="s">
        <v>18</v>
      </c>
      <c r="C7" s="6">
        <f ca="1">TODAY()</f>
        <v>45321</v>
      </c>
      <c r="G7">
        <v>1</v>
      </c>
      <c r="H7" s="1">
        <v>3.2810000000000001</v>
      </c>
      <c r="J7" t="s">
        <v>59</v>
      </c>
      <c r="K7">
        <f>VLOOKUP(K6,confidence_95_multiplier122022[#All],2,FALSE)</f>
        <v>2.0640000000000001</v>
      </c>
      <c r="N7" s="1">
        <v>2</v>
      </c>
      <c r="O7" s="1">
        <v>40</v>
      </c>
      <c r="P7" s="1">
        <v>65</v>
      </c>
      <c r="Q7" s="1">
        <v>1.625</v>
      </c>
      <c r="R7" s="1">
        <v>2.4510000000000001</v>
      </c>
      <c r="S7" s="1">
        <v>255</v>
      </c>
    </row>
    <row r="8" spans="2:19" x14ac:dyDescent="0.25">
      <c r="G8">
        <v>2</v>
      </c>
      <c r="H8" s="1">
        <v>2.4510000000000001</v>
      </c>
      <c r="J8" t="s">
        <v>60</v>
      </c>
      <c r="K8">
        <f>AVERAGE(porosity_readings111921[x_i])</f>
        <v>3.0272399999999999</v>
      </c>
      <c r="N8" s="1">
        <v>3</v>
      </c>
      <c r="O8" s="1">
        <v>49</v>
      </c>
      <c r="P8" s="1">
        <v>99</v>
      </c>
      <c r="Q8" s="1">
        <v>2.02</v>
      </c>
      <c r="R8" s="1">
        <v>3.7330000000000001</v>
      </c>
      <c r="S8" s="1">
        <v>255</v>
      </c>
    </row>
    <row r="9" spans="2:19" x14ac:dyDescent="0.25">
      <c r="B9" t="s">
        <v>55</v>
      </c>
      <c r="C9" s="3">
        <v>1000</v>
      </c>
      <c r="G9">
        <v>3</v>
      </c>
      <c r="H9" s="1">
        <v>3.7330000000000001</v>
      </c>
      <c r="J9" t="s">
        <v>61</v>
      </c>
      <c r="K9">
        <f>_xlfn.STDEV.S(porosity_readings111921[x_i])</f>
        <v>1.172146900634331</v>
      </c>
      <c r="N9" s="1">
        <v>4</v>
      </c>
      <c r="O9" s="1">
        <v>54</v>
      </c>
      <c r="P9" s="1">
        <v>114</v>
      </c>
      <c r="Q9" s="1">
        <v>2.1110000000000002</v>
      </c>
      <c r="R9" s="1">
        <v>4.2990000000000004</v>
      </c>
      <c r="S9" s="1">
        <v>255</v>
      </c>
    </row>
    <row r="10" spans="2:19" x14ac:dyDescent="0.25">
      <c r="B10" t="s">
        <v>26</v>
      </c>
      <c r="C10" s="11">
        <f>HVOF_APS_Al2O3_0100X!K8</f>
        <v>3.0272399999999999</v>
      </c>
      <c r="G10">
        <v>4</v>
      </c>
      <c r="H10" s="1">
        <v>4.2990000000000004</v>
      </c>
      <c r="J10" t="s">
        <v>62</v>
      </c>
      <c r="K10" s="7">
        <f>K9*K7/(SQRT(K6))</f>
        <v>0.48386224058185184</v>
      </c>
      <c r="N10" s="1">
        <v>5</v>
      </c>
      <c r="O10" s="1">
        <v>40</v>
      </c>
      <c r="P10" s="1">
        <v>71</v>
      </c>
      <c r="Q10" s="1">
        <v>1.7749999999999999</v>
      </c>
      <c r="R10" s="1">
        <v>2.677</v>
      </c>
      <c r="S10" s="1">
        <v>255</v>
      </c>
    </row>
    <row r="11" spans="2:19" x14ac:dyDescent="0.25">
      <c r="B11" t="s">
        <v>25</v>
      </c>
      <c r="C11" s="9">
        <f>HVOF_APS_Al2O3_0100X!K12</f>
        <v>1.5840000000000001</v>
      </c>
      <c r="G11">
        <v>5</v>
      </c>
      <c r="H11" s="1">
        <v>2.677</v>
      </c>
      <c r="J11" t="s">
        <v>63</v>
      </c>
      <c r="K11" s="7">
        <f>K10/K8</f>
        <v>0.15983610172363336</v>
      </c>
      <c r="N11" s="1">
        <v>6</v>
      </c>
      <c r="O11" s="1">
        <v>42</v>
      </c>
      <c r="P11" s="1">
        <v>76</v>
      </c>
      <c r="Q11" s="1">
        <v>1.81</v>
      </c>
      <c r="R11" s="1">
        <v>2.8660000000000001</v>
      </c>
      <c r="S11" s="1">
        <v>255</v>
      </c>
    </row>
    <row r="12" spans="2:19" x14ac:dyDescent="0.25">
      <c r="B12" t="s">
        <v>24</v>
      </c>
      <c r="C12" s="9">
        <f>HVOF_APS_Al2O3_0100X!K13</f>
        <v>7.391</v>
      </c>
      <c r="G12">
        <v>6</v>
      </c>
      <c r="H12" s="1">
        <v>2.8660000000000001</v>
      </c>
      <c r="J12" t="s">
        <v>64</v>
      </c>
      <c r="K12">
        <f>MIN(porosity_readings111921[x_i])</f>
        <v>1.5840000000000001</v>
      </c>
      <c r="N12" s="1">
        <v>7</v>
      </c>
      <c r="O12" s="1">
        <v>28</v>
      </c>
      <c r="P12" s="1">
        <v>42</v>
      </c>
      <c r="Q12" s="1">
        <v>1.5</v>
      </c>
      <c r="R12" s="1">
        <v>1.5840000000000001</v>
      </c>
      <c r="S12" s="1">
        <v>255</v>
      </c>
    </row>
    <row r="13" spans="2:19" x14ac:dyDescent="0.25">
      <c r="B13" t="s">
        <v>12</v>
      </c>
      <c r="C13" s="11">
        <f>HVOF_APS_Al2O3_0100X!K9</f>
        <v>1.172146900634331</v>
      </c>
      <c r="G13">
        <v>7</v>
      </c>
      <c r="H13" s="1">
        <v>1.5840000000000001</v>
      </c>
      <c r="J13" t="s">
        <v>65</v>
      </c>
      <c r="K13">
        <f>MAX(porosity_readings111921[x_i])</f>
        <v>7.391</v>
      </c>
      <c r="N13" s="1">
        <v>8</v>
      </c>
      <c r="O13" s="1">
        <v>44</v>
      </c>
      <c r="P13" s="1">
        <v>74</v>
      </c>
      <c r="Q13" s="1">
        <v>1.6819999999999999</v>
      </c>
      <c r="R13" s="1">
        <v>2.79</v>
      </c>
      <c r="S13" s="1">
        <v>255</v>
      </c>
    </row>
    <row r="14" spans="2:19" x14ac:dyDescent="0.25">
      <c r="B14" t="s">
        <v>19</v>
      </c>
      <c r="C14" s="10">
        <f>HVOF_APS_Al2O3_0100X!K10</f>
        <v>0.48386224058185184</v>
      </c>
      <c r="G14">
        <v>8</v>
      </c>
      <c r="H14" s="1">
        <v>2.79</v>
      </c>
      <c r="N14" s="1">
        <v>9</v>
      </c>
      <c r="O14" s="1">
        <v>34</v>
      </c>
      <c r="P14" s="1">
        <v>54</v>
      </c>
      <c r="Q14" s="1">
        <v>1.5880000000000001</v>
      </c>
      <c r="R14" s="1">
        <v>2.036</v>
      </c>
      <c r="S14" s="1">
        <v>255</v>
      </c>
    </row>
    <row r="15" spans="2:19" x14ac:dyDescent="0.25">
      <c r="B15" t="s">
        <v>27</v>
      </c>
      <c r="C15" s="14">
        <f>HVOF_APS_Al2O3_0100X!K11</f>
        <v>0.15983610172363336</v>
      </c>
      <c r="G15">
        <v>9</v>
      </c>
      <c r="H15" s="1">
        <v>2.036</v>
      </c>
      <c r="J15" t="s">
        <v>5</v>
      </c>
      <c r="K15"/>
      <c r="N15" s="1">
        <v>10</v>
      </c>
      <c r="O15" s="1">
        <v>51</v>
      </c>
      <c r="P15" s="1">
        <v>80</v>
      </c>
      <c r="Q15" s="1">
        <v>1.569</v>
      </c>
      <c r="R15" s="1">
        <v>3.0169999999999999</v>
      </c>
      <c r="S15" s="1">
        <v>255</v>
      </c>
    </row>
    <row r="16" spans="2:19" x14ac:dyDescent="0.25">
      <c r="B16" t="s">
        <v>23</v>
      </c>
      <c r="C16" s="2">
        <f>HVOF_APS_Al2O3_0100X!K6</f>
        <v>25</v>
      </c>
      <c r="G16">
        <v>10</v>
      </c>
      <c r="H16" s="1">
        <v>3.0169999999999999</v>
      </c>
      <c r="J16" t="s">
        <v>3</v>
      </c>
      <c r="K16" t="s">
        <v>4</v>
      </c>
      <c r="N16" s="1">
        <v>11</v>
      </c>
      <c r="O16" s="1">
        <v>34</v>
      </c>
      <c r="P16" s="1">
        <v>64</v>
      </c>
      <c r="Q16" s="1">
        <v>1.8819999999999999</v>
      </c>
      <c r="R16" s="1">
        <v>2.4129999999999998</v>
      </c>
      <c r="S16" s="1">
        <v>255</v>
      </c>
    </row>
    <row r="17" spans="2:19" x14ac:dyDescent="0.25">
      <c r="G17">
        <v>11</v>
      </c>
      <c r="H17" s="1">
        <v>2.4129999999999998</v>
      </c>
      <c r="J17">
        <v>20</v>
      </c>
      <c r="K17">
        <v>2.093</v>
      </c>
      <c r="N17" s="1">
        <v>12</v>
      </c>
      <c r="O17" s="1">
        <v>50</v>
      </c>
      <c r="P17" s="1">
        <v>86</v>
      </c>
      <c r="Q17" s="1">
        <v>1.72</v>
      </c>
      <c r="R17" s="1">
        <v>3.2429999999999999</v>
      </c>
      <c r="S17" s="1">
        <v>255</v>
      </c>
    </row>
    <row r="18" spans="2:19" x14ac:dyDescent="0.25">
      <c r="B18" s="1" t="s">
        <v>66</v>
      </c>
      <c r="C18" s="3">
        <v>0</v>
      </c>
      <c r="G18">
        <v>12</v>
      </c>
      <c r="H18" s="1">
        <v>3.2429999999999999</v>
      </c>
      <c r="J18">
        <v>21</v>
      </c>
      <c r="K18">
        <v>2.0859999999999999</v>
      </c>
      <c r="N18" s="1">
        <v>13</v>
      </c>
      <c r="O18" s="1">
        <v>33</v>
      </c>
      <c r="P18" s="1">
        <v>57</v>
      </c>
      <c r="Q18" s="1">
        <v>1.7270000000000001</v>
      </c>
      <c r="R18" s="1">
        <v>2.149</v>
      </c>
      <c r="S18" s="1">
        <v>255</v>
      </c>
    </row>
    <row r="19" spans="2:19" x14ac:dyDescent="0.25">
      <c r="B19" s="1" t="s">
        <v>53</v>
      </c>
      <c r="C19" s="2">
        <v>0</v>
      </c>
      <c r="G19">
        <v>13</v>
      </c>
      <c r="H19" s="1">
        <v>2.149</v>
      </c>
      <c r="J19">
        <v>22</v>
      </c>
      <c r="K19">
        <v>2.08</v>
      </c>
      <c r="N19" s="1">
        <v>14</v>
      </c>
      <c r="O19" s="1">
        <v>39</v>
      </c>
      <c r="P19" s="1">
        <v>64</v>
      </c>
      <c r="Q19" s="1">
        <v>1.641</v>
      </c>
      <c r="R19" s="1">
        <v>2.4129999999999998</v>
      </c>
      <c r="S19" s="1">
        <v>255</v>
      </c>
    </row>
    <row r="20" spans="2:19" x14ac:dyDescent="0.25">
      <c r="B20" s="1" t="s">
        <v>54</v>
      </c>
      <c r="C20" s="2">
        <v>114</v>
      </c>
      <c r="G20">
        <v>14</v>
      </c>
      <c r="H20" s="1">
        <v>2.4129999999999998</v>
      </c>
      <c r="J20">
        <v>23</v>
      </c>
      <c r="K20">
        <v>2.0739999999999998</v>
      </c>
      <c r="N20" s="1">
        <v>15</v>
      </c>
      <c r="O20" s="1">
        <v>47</v>
      </c>
      <c r="P20" s="1">
        <v>67</v>
      </c>
      <c r="Q20" s="1">
        <v>1.4259999999999999</v>
      </c>
      <c r="R20" s="1">
        <v>2.5259999999999998</v>
      </c>
      <c r="S20" s="1">
        <v>255</v>
      </c>
    </row>
    <row r="21" spans="2:19" x14ac:dyDescent="0.25">
      <c r="G21">
        <v>15</v>
      </c>
      <c r="H21" s="1">
        <v>2.5259999999999998</v>
      </c>
      <c r="J21">
        <v>24</v>
      </c>
      <c r="K21">
        <v>2.069</v>
      </c>
      <c r="N21" s="1">
        <v>16</v>
      </c>
      <c r="O21" s="1">
        <v>35</v>
      </c>
      <c r="P21" s="1">
        <v>66</v>
      </c>
      <c r="Q21" s="1">
        <v>1.8859999999999999</v>
      </c>
      <c r="R21" s="1">
        <v>2.4889999999999999</v>
      </c>
      <c r="S21" s="1">
        <v>255</v>
      </c>
    </row>
    <row r="22" spans="2:19" x14ac:dyDescent="0.25">
      <c r="G22">
        <v>16</v>
      </c>
      <c r="H22" s="1">
        <v>2.4889999999999999</v>
      </c>
      <c r="J22">
        <v>25</v>
      </c>
      <c r="K22">
        <v>2.0640000000000001</v>
      </c>
      <c r="N22" s="1">
        <v>17</v>
      </c>
      <c r="O22" s="1">
        <v>41</v>
      </c>
      <c r="P22" s="1">
        <v>70</v>
      </c>
      <c r="Q22" s="1">
        <v>1.7070000000000001</v>
      </c>
      <c r="R22" s="1">
        <v>2.64</v>
      </c>
      <c r="S22" s="1">
        <v>255</v>
      </c>
    </row>
    <row r="23" spans="2:19" x14ac:dyDescent="0.25">
      <c r="C23" s="4"/>
      <c r="G23">
        <v>17</v>
      </c>
      <c r="H23" s="1">
        <v>2.64</v>
      </c>
      <c r="J23">
        <v>26</v>
      </c>
      <c r="K23">
        <v>2.06</v>
      </c>
      <c r="N23" s="1">
        <v>18</v>
      </c>
      <c r="O23" s="1">
        <v>40</v>
      </c>
      <c r="P23" s="1">
        <v>73</v>
      </c>
      <c r="Q23" s="1">
        <v>1.825</v>
      </c>
      <c r="R23" s="1">
        <v>2.7530000000000001</v>
      </c>
      <c r="S23" s="1">
        <v>255</v>
      </c>
    </row>
    <row r="24" spans="2:19" x14ac:dyDescent="0.25">
      <c r="G24">
        <v>18</v>
      </c>
      <c r="H24" s="1">
        <v>2.7530000000000001</v>
      </c>
      <c r="J24">
        <v>27</v>
      </c>
      <c r="K24">
        <v>2.056</v>
      </c>
      <c r="N24" s="1">
        <v>19</v>
      </c>
      <c r="O24" s="1">
        <v>44</v>
      </c>
      <c r="P24" s="1">
        <v>89</v>
      </c>
      <c r="Q24" s="1">
        <v>2.0230000000000001</v>
      </c>
      <c r="R24" s="1">
        <v>3.3559999999999999</v>
      </c>
      <c r="S24" s="1">
        <v>255</v>
      </c>
    </row>
    <row r="25" spans="2:19" x14ac:dyDescent="0.25">
      <c r="G25">
        <v>19</v>
      </c>
      <c r="H25" s="1">
        <v>3.3559999999999999</v>
      </c>
      <c r="J25">
        <v>28</v>
      </c>
      <c r="K25">
        <v>2.052</v>
      </c>
      <c r="N25" s="1">
        <v>20</v>
      </c>
      <c r="O25" s="1">
        <v>67</v>
      </c>
      <c r="P25" s="1">
        <v>196</v>
      </c>
      <c r="Q25" s="1">
        <v>2.9249999999999998</v>
      </c>
      <c r="R25" s="1">
        <v>7.391</v>
      </c>
      <c r="S25" s="1">
        <v>255</v>
      </c>
    </row>
    <row r="26" spans="2:19" x14ac:dyDescent="0.25">
      <c r="G26">
        <v>20</v>
      </c>
      <c r="H26" s="1">
        <v>7.391</v>
      </c>
      <c r="J26">
        <v>29</v>
      </c>
      <c r="K26">
        <v>2.048</v>
      </c>
      <c r="N26" s="1">
        <v>21</v>
      </c>
      <c r="O26" s="1">
        <v>40</v>
      </c>
      <c r="P26" s="1">
        <v>65</v>
      </c>
      <c r="Q26" s="1">
        <v>1.625</v>
      </c>
      <c r="R26" s="1">
        <v>2.4510000000000001</v>
      </c>
      <c r="S26" s="1">
        <v>255</v>
      </c>
    </row>
    <row r="27" spans="2:19" x14ac:dyDescent="0.25">
      <c r="G27">
        <v>21</v>
      </c>
      <c r="H27" s="1">
        <v>2.4510000000000001</v>
      </c>
      <c r="J27">
        <v>30</v>
      </c>
      <c r="K27">
        <v>2.0449999999999999</v>
      </c>
      <c r="N27" s="1">
        <v>22</v>
      </c>
      <c r="O27" s="1">
        <v>35</v>
      </c>
      <c r="P27" s="1">
        <v>54</v>
      </c>
      <c r="Q27" s="1">
        <v>1.5429999999999999</v>
      </c>
      <c r="R27" s="1">
        <v>2.036</v>
      </c>
      <c r="S27" s="1">
        <v>255</v>
      </c>
    </row>
    <row r="28" spans="2:19" x14ac:dyDescent="0.25">
      <c r="G28">
        <v>22</v>
      </c>
      <c r="H28" s="1">
        <v>2.036</v>
      </c>
      <c r="J28">
        <v>40</v>
      </c>
      <c r="K28">
        <v>2.02</v>
      </c>
      <c r="N28" s="1">
        <v>23</v>
      </c>
      <c r="O28" s="1">
        <v>60</v>
      </c>
      <c r="P28" s="1">
        <v>90</v>
      </c>
      <c r="Q28" s="1">
        <v>1.5</v>
      </c>
      <c r="R28" s="1">
        <v>3.3940000000000001</v>
      </c>
      <c r="S28" s="1">
        <v>255</v>
      </c>
    </row>
    <row r="29" spans="2:19" x14ac:dyDescent="0.25">
      <c r="G29">
        <v>23</v>
      </c>
      <c r="H29" s="1">
        <v>3.3940000000000001</v>
      </c>
      <c r="J29">
        <v>60</v>
      </c>
      <c r="K29">
        <v>2</v>
      </c>
      <c r="N29" s="1">
        <v>24</v>
      </c>
      <c r="O29" s="1">
        <v>42</v>
      </c>
      <c r="P29" s="1">
        <v>70</v>
      </c>
      <c r="Q29" s="1">
        <v>1.667</v>
      </c>
      <c r="R29" s="1">
        <v>2.64</v>
      </c>
      <c r="S29" s="1">
        <v>255</v>
      </c>
    </row>
    <row r="30" spans="2:19" x14ac:dyDescent="0.25">
      <c r="G30">
        <v>24</v>
      </c>
      <c r="H30" s="1">
        <v>2.64</v>
      </c>
      <c r="N30" s="1">
        <v>25</v>
      </c>
      <c r="O30" s="1">
        <v>56</v>
      </c>
      <c r="P30" s="1">
        <v>134</v>
      </c>
      <c r="Q30" s="1">
        <v>2.3929999999999998</v>
      </c>
      <c r="R30" s="1">
        <v>5.0529999999999999</v>
      </c>
      <c r="S30" s="1">
        <v>255</v>
      </c>
    </row>
    <row r="31" spans="2:19" x14ac:dyDescent="0.25">
      <c r="G31">
        <v>25</v>
      </c>
      <c r="H31" s="1">
        <v>5.0529999999999999</v>
      </c>
    </row>
    <row r="32" spans="2:19" x14ac:dyDescent="0.25">
      <c r="G32"/>
    </row>
    <row r="33" spans="7:7" x14ac:dyDescent="0.25">
      <c r="G33"/>
    </row>
    <row r="34" spans="7:7" x14ac:dyDescent="0.25">
      <c r="G34"/>
    </row>
    <row r="35" spans="7:7" x14ac:dyDescent="0.25">
      <c r="G35"/>
    </row>
    <row r="36" spans="7:7" x14ac:dyDescent="0.25">
      <c r="G36"/>
    </row>
    <row r="37" spans="7:7" x14ac:dyDescent="0.25">
      <c r="G37"/>
    </row>
    <row r="38" spans="7:7" x14ac:dyDescent="0.25">
      <c r="G38"/>
    </row>
    <row r="39" spans="7:7" x14ac:dyDescent="0.25">
      <c r="G39"/>
    </row>
    <row r="40" spans="7:7" x14ac:dyDescent="0.25">
      <c r="G40"/>
    </row>
    <row r="41" spans="7:7" x14ac:dyDescent="0.25">
      <c r="G41"/>
    </row>
    <row r="42" spans="7:7" x14ac:dyDescent="0.25">
      <c r="G42"/>
    </row>
    <row r="43" spans="7:7" x14ac:dyDescent="0.25">
      <c r="G43"/>
    </row>
    <row r="44" spans="7:7" x14ac:dyDescent="0.25">
      <c r="G44"/>
    </row>
    <row r="45" spans="7:7" x14ac:dyDescent="0.25">
      <c r="G45"/>
    </row>
    <row r="46" spans="7:7" x14ac:dyDescent="0.25">
      <c r="G46"/>
    </row>
    <row r="47" spans="7:7" x14ac:dyDescent="0.25">
      <c r="G47"/>
    </row>
    <row r="48" spans="7:7" x14ac:dyDescent="0.25">
      <c r="G48"/>
    </row>
    <row r="49" spans="7:7" x14ac:dyDescent="0.25">
      <c r="G49"/>
    </row>
    <row r="50" spans="7:7" x14ac:dyDescent="0.25">
      <c r="G50"/>
    </row>
    <row r="51" spans="7:7" x14ac:dyDescent="0.25">
      <c r="G51"/>
    </row>
    <row r="52" spans="7:7" x14ac:dyDescent="0.25">
      <c r="G52"/>
    </row>
    <row r="53" spans="7:7" x14ac:dyDescent="0.25">
      <c r="G53"/>
    </row>
    <row r="54" spans="7:7" x14ac:dyDescent="0.25">
      <c r="G54"/>
    </row>
    <row r="55" spans="7:7" x14ac:dyDescent="0.25">
      <c r="G55"/>
    </row>
    <row r="56" spans="7:7" x14ac:dyDescent="0.25">
      <c r="G56"/>
    </row>
  </sheetData>
  <mergeCells count="1">
    <mergeCell ref="B1:C1"/>
  </mergeCells>
  <pageMargins left="0.7" right="0.7" top="0.75" bottom="0.75" header="0.3" footer="0.3"/>
  <pageSetup orientation="portrait" r:id="rId1"/>
  <drawing r:id="rId2"/>
  <tableParts count="2">
    <tablePart r:id="rId3"/>
    <tablePart r:id="rId4"/>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7F9382-4B3A-3F45-8CDA-BBC6B0A11BEB}">
  <sheetPr codeName="Sheet23">
    <tabColor theme="0" tint="-0.249977111117893"/>
  </sheetPr>
  <dimension ref="B1:S66"/>
  <sheetViews>
    <sheetView zoomScaleNormal="100" workbookViewId="0">
      <selection activeCell="F46" sqref="F46"/>
    </sheetView>
  </sheetViews>
  <sheetFormatPr defaultColWidth="9.140625" defaultRowHeight="15" x14ac:dyDescent="0.25"/>
  <cols>
    <col min="1" max="1" width="3" style="1" customWidth="1"/>
    <col min="2" max="2" width="46" style="1" customWidth="1"/>
    <col min="3" max="3" width="27.140625" style="1" customWidth="1"/>
    <col min="4" max="5" width="3" style="1" customWidth="1"/>
    <col min="6" max="6" width="9.140625" style="1"/>
    <col min="7" max="7" width="36.28515625" style="1" bestFit="1" customWidth="1"/>
    <col min="8" max="8" width="14.85546875" style="1" bestFit="1" customWidth="1"/>
    <col min="9" max="9" width="9.140625" style="1"/>
    <col min="10" max="10" width="23" style="1" customWidth="1"/>
    <col min="11" max="16384" width="9.140625" style="1"/>
  </cols>
  <sheetData>
    <row r="1" spans="2:19" ht="23.25" x14ac:dyDescent="0.25">
      <c r="B1" s="18" t="s">
        <v>28</v>
      </c>
      <c r="C1" s="18"/>
    </row>
    <row r="2" spans="2:19" ht="20.25" thickBot="1" x14ac:dyDescent="0.35">
      <c r="B2" s="8" t="s">
        <v>20</v>
      </c>
    </row>
    <row r="3" spans="2:19" ht="45.75" customHeight="1" thickTop="1" x14ac:dyDescent="0.25">
      <c r="B3" s="5" t="s">
        <v>22</v>
      </c>
    </row>
    <row r="4" spans="2:19" x14ac:dyDescent="0.25">
      <c r="B4" s="5"/>
    </row>
    <row r="5" spans="2:19" x14ac:dyDescent="0.25">
      <c r="B5" t="s">
        <v>16</v>
      </c>
      <c r="C5" s="12" t="s">
        <v>68</v>
      </c>
      <c r="G5" t="s">
        <v>14</v>
      </c>
      <c r="H5" t="s">
        <v>15</v>
      </c>
    </row>
    <row r="6" spans="2:19" x14ac:dyDescent="0.25">
      <c r="B6" t="s">
        <v>17</v>
      </c>
      <c r="C6" s="2" t="s">
        <v>21</v>
      </c>
      <c r="G6" t="s">
        <v>11</v>
      </c>
      <c r="H6" t="s">
        <v>13</v>
      </c>
      <c r="J6" t="s">
        <v>58</v>
      </c>
      <c r="K6">
        <f>MAX(G7:G46)</f>
        <v>40</v>
      </c>
      <c r="N6" s="1">
        <v>1</v>
      </c>
      <c r="O6" s="1">
        <v>294</v>
      </c>
      <c r="P6" s="1">
        <v>722</v>
      </c>
      <c r="Q6" s="1">
        <v>2.456</v>
      </c>
      <c r="R6" s="1">
        <v>8.2309999999999999</v>
      </c>
      <c r="S6" s="1">
        <v>255</v>
      </c>
    </row>
    <row r="7" spans="2:19" x14ac:dyDescent="0.25">
      <c r="B7" t="s">
        <v>18</v>
      </c>
      <c r="C7" s="6">
        <f ca="1">TODAY()</f>
        <v>45321</v>
      </c>
      <c r="G7">
        <v>1</v>
      </c>
      <c r="H7" s="1">
        <v>8.2309999999999999</v>
      </c>
      <c r="J7" t="s">
        <v>59</v>
      </c>
      <c r="K7">
        <f>VLOOKUP(K6,confidence_95_multiplier1220222448[#All],2,FALSE)</f>
        <v>2.02</v>
      </c>
      <c r="N7" s="1">
        <v>2</v>
      </c>
      <c r="O7" s="1">
        <v>230</v>
      </c>
      <c r="P7" s="1">
        <v>540</v>
      </c>
      <c r="Q7" s="1">
        <v>2.3479999999999999</v>
      </c>
      <c r="R7" s="1">
        <v>6.1559999999999997</v>
      </c>
      <c r="S7" s="1">
        <v>255</v>
      </c>
    </row>
    <row r="8" spans="2:19" x14ac:dyDescent="0.25">
      <c r="G8">
        <v>2</v>
      </c>
      <c r="H8" s="1">
        <v>6.1559999999999997</v>
      </c>
      <c r="J8" t="s">
        <v>60</v>
      </c>
      <c r="K8">
        <f>AVERAGE(porosity_readings1119212347[x_i])</f>
        <v>6.4461499999999985</v>
      </c>
      <c r="N8" s="1">
        <v>3</v>
      </c>
      <c r="O8" s="1">
        <v>280</v>
      </c>
      <c r="P8" s="1">
        <v>640</v>
      </c>
      <c r="Q8" s="1">
        <v>2.286</v>
      </c>
      <c r="R8" s="1">
        <v>7.2960000000000003</v>
      </c>
      <c r="S8" s="1">
        <v>255</v>
      </c>
    </row>
    <row r="9" spans="2:19" x14ac:dyDescent="0.25">
      <c r="B9" t="s">
        <v>55</v>
      </c>
      <c r="C9" s="3">
        <v>1000</v>
      </c>
      <c r="G9">
        <v>3</v>
      </c>
      <c r="H9" s="1">
        <v>7.2960000000000003</v>
      </c>
      <c r="J9" t="s">
        <v>61</v>
      </c>
      <c r="K9">
        <f>_xlfn.STDEV.S(porosity_readings1119212347[x_i])</f>
        <v>0.70411998358380945</v>
      </c>
      <c r="N9" s="1">
        <v>4</v>
      </c>
      <c r="O9" s="1">
        <v>263</v>
      </c>
      <c r="P9" s="1">
        <v>636</v>
      </c>
      <c r="Q9" s="1">
        <v>2.4180000000000001</v>
      </c>
      <c r="R9" s="1">
        <v>7.25</v>
      </c>
      <c r="S9" s="1">
        <v>255</v>
      </c>
    </row>
    <row r="10" spans="2:19" x14ac:dyDescent="0.25">
      <c r="B10" t="s">
        <v>26</v>
      </c>
      <c r="C10" s="11">
        <f>'HVOF_APS_Al2O3_0250X (with crac'!K8</f>
        <v>6.4461499999999985</v>
      </c>
      <c r="G10">
        <v>4</v>
      </c>
      <c r="H10" s="1">
        <v>7.25</v>
      </c>
      <c r="J10" t="s">
        <v>62</v>
      </c>
      <c r="K10" s="7">
        <f>K9*K7/(SQRT(K6))</f>
        <v>0.22488891231068583</v>
      </c>
      <c r="N10" s="1">
        <v>5</v>
      </c>
      <c r="O10" s="1">
        <v>264</v>
      </c>
      <c r="P10" s="1">
        <v>595</v>
      </c>
      <c r="Q10" s="1">
        <v>2.254</v>
      </c>
      <c r="R10" s="1">
        <v>6.7830000000000004</v>
      </c>
      <c r="S10" s="1">
        <v>255</v>
      </c>
    </row>
    <row r="11" spans="2:19" x14ac:dyDescent="0.25">
      <c r="B11" t="s">
        <v>25</v>
      </c>
      <c r="C11" s="9">
        <f>'HVOF_APS_Al2O3_0250X (with crac'!K12</f>
        <v>5.1870000000000003</v>
      </c>
      <c r="G11">
        <v>5</v>
      </c>
      <c r="H11" s="1">
        <v>6.7830000000000004</v>
      </c>
      <c r="J11" t="s">
        <v>63</v>
      </c>
      <c r="K11" s="7">
        <f>K10/K8</f>
        <v>3.4887322248270035E-2</v>
      </c>
      <c r="N11" s="1">
        <v>6</v>
      </c>
      <c r="O11" s="1">
        <v>240</v>
      </c>
      <c r="P11" s="1">
        <v>520</v>
      </c>
      <c r="Q11" s="1">
        <v>2.1669999999999998</v>
      </c>
      <c r="R11" s="1">
        <v>5.9279999999999999</v>
      </c>
      <c r="S11" s="1">
        <v>255</v>
      </c>
    </row>
    <row r="12" spans="2:19" x14ac:dyDescent="0.25">
      <c r="B12" t="s">
        <v>24</v>
      </c>
      <c r="C12" s="9">
        <f>'HVOF_APS_Al2O3_0250X (with crac'!K13</f>
        <v>8.3109999999999999</v>
      </c>
      <c r="G12">
        <v>6</v>
      </c>
      <c r="H12" s="1">
        <v>5.9279999999999999</v>
      </c>
      <c r="J12" t="s">
        <v>64</v>
      </c>
      <c r="K12">
        <f>MIN(porosity_readings1119212347[x_i])</f>
        <v>5.1870000000000003</v>
      </c>
      <c r="N12" s="1">
        <v>7</v>
      </c>
      <c r="O12" s="1">
        <v>262</v>
      </c>
      <c r="P12" s="1">
        <v>619</v>
      </c>
      <c r="Q12" s="1">
        <v>2.363</v>
      </c>
      <c r="R12" s="1">
        <v>7.0570000000000004</v>
      </c>
      <c r="S12" s="1">
        <v>255</v>
      </c>
    </row>
    <row r="13" spans="2:19" x14ac:dyDescent="0.25">
      <c r="B13" t="s">
        <v>12</v>
      </c>
      <c r="C13" s="11">
        <f>'HVOF_APS_Al2O3_0250X (with crac'!K9</f>
        <v>0.70411998358380945</v>
      </c>
      <c r="G13">
        <v>7</v>
      </c>
      <c r="H13" s="1">
        <v>7.0570000000000004</v>
      </c>
      <c r="J13" t="s">
        <v>65</v>
      </c>
      <c r="K13">
        <f>MAX(porosity_readings1119212347[x_i])</f>
        <v>8.3109999999999999</v>
      </c>
      <c r="N13" s="1">
        <v>8</v>
      </c>
      <c r="O13" s="1">
        <v>252</v>
      </c>
      <c r="P13" s="1">
        <v>565</v>
      </c>
      <c r="Q13" s="1">
        <v>2.242</v>
      </c>
      <c r="R13" s="1">
        <v>6.4409999999999998</v>
      </c>
      <c r="S13" s="1">
        <v>255</v>
      </c>
    </row>
    <row r="14" spans="2:19" x14ac:dyDescent="0.25">
      <c r="B14" t="s">
        <v>19</v>
      </c>
      <c r="C14" s="10">
        <f>'HVOF_APS_Al2O3_0250X (with crac'!K10</f>
        <v>0.22488891231068583</v>
      </c>
      <c r="G14">
        <v>8</v>
      </c>
      <c r="H14" s="1">
        <v>6.4409999999999998</v>
      </c>
      <c r="N14" s="1">
        <v>9</v>
      </c>
      <c r="O14" s="1">
        <v>240</v>
      </c>
      <c r="P14" s="1">
        <v>548</v>
      </c>
      <c r="Q14" s="1">
        <v>2.2829999999999999</v>
      </c>
      <c r="R14" s="1">
        <v>6.2469999999999999</v>
      </c>
      <c r="S14" s="1">
        <v>255</v>
      </c>
    </row>
    <row r="15" spans="2:19" x14ac:dyDescent="0.25">
      <c r="B15" t="s">
        <v>27</v>
      </c>
      <c r="C15" s="14">
        <f>'HVOF_APS_Al2O3_0250X (with crac'!K11</f>
        <v>3.4887322248270035E-2</v>
      </c>
      <c r="G15">
        <v>9</v>
      </c>
      <c r="H15" s="1">
        <v>6.2469999999999999</v>
      </c>
      <c r="J15" t="s">
        <v>5</v>
      </c>
      <c r="K15"/>
      <c r="N15" s="1">
        <v>10</v>
      </c>
      <c r="O15" s="1">
        <v>240</v>
      </c>
      <c r="P15" s="1">
        <v>494</v>
      </c>
      <c r="Q15" s="1">
        <v>2.0579999999999998</v>
      </c>
      <c r="R15" s="1">
        <v>5.6319999999999997</v>
      </c>
      <c r="S15" s="1">
        <v>255</v>
      </c>
    </row>
    <row r="16" spans="2:19" x14ac:dyDescent="0.25">
      <c r="B16" t="s">
        <v>23</v>
      </c>
      <c r="C16" s="2">
        <f>'HVOF_APS_Al2O3_0250X (with crac'!K6</f>
        <v>40</v>
      </c>
      <c r="G16">
        <v>10</v>
      </c>
      <c r="H16" s="1">
        <v>5.6319999999999997</v>
      </c>
      <c r="J16" t="s">
        <v>3</v>
      </c>
      <c r="K16" t="s">
        <v>4</v>
      </c>
      <c r="N16" s="1">
        <v>11</v>
      </c>
      <c r="O16" s="1">
        <v>243</v>
      </c>
      <c r="P16" s="1">
        <v>619</v>
      </c>
      <c r="Q16" s="1">
        <v>2.5470000000000002</v>
      </c>
      <c r="R16" s="1">
        <v>7.0570000000000004</v>
      </c>
      <c r="S16" s="1">
        <v>255</v>
      </c>
    </row>
    <row r="17" spans="2:19" x14ac:dyDescent="0.25">
      <c r="G17">
        <v>11</v>
      </c>
      <c r="H17" s="1">
        <v>7.0570000000000004</v>
      </c>
      <c r="J17">
        <v>20</v>
      </c>
      <c r="K17">
        <v>2.093</v>
      </c>
      <c r="N17" s="1">
        <v>12</v>
      </c>
      <c r="O17" s="1">
        <v>236</v>
      </c>
      <c r="P17" s="1">
        <v>572</v>
      </c>
      <c r="Q17" s="1">
        <v>2.4239999999999999</v>
      </c>
      <c r="R17" s="1">
        <v>6.5209999999999999</v>
      </c>
      <c r="S17" s="1">
        <v>255</v>
      </c>
    </row>
    <row r="18" spans="2:19" x14ac:dyDescent="0.25">
      <c r="B18" s="1" t="s">
        <v>66</v>
      </c>
      <c r="C18" s="3">
        <v>0</v>
      </c>
      <c r="G18">
        <v>12</v>
      </c>
      <c r="H18" s="1">
        <v>6.5209999999999999</v>
      </c>
      <c r="J18">
        <v>21</v>
      </c>
      <c r="K18">
        <v>2.0859999999999999</v>
      </c>
      <c r="N18" s="1">
        <v>13</v>
      </c>
      <c r="O18" s="1">
        <v>221</v>
      </c>
      <c r="P18" s="1">
        <v>506</v>
      </c>
      <c r="Q18" s="1">
        <v>2.29</v>
      </c>
      <c r="R18" s="1">
        <v>5.7679999999999998</v>
      </c>
      <c r="S18" s="1">
        <v>255</v>
      </c>
    </row>
    <row r="19" spans="2:19" x14ac:dyDescent="0.25">
      <c r="B19" s="1" t="s">
        <v>53</v>
      </c>
      <c r="C19" s="2">
        <v>0</v>
      </c>
      <c r="G19">
        <v>13</v>
      </c>
      <c r="H19" s="1">
        <v>5.7679999999999998</v>
      </c>
      <c r="J19">
        <v>22</v>
      </c>
      <c r="K19">
        <v>2.08</v>
      </c>
      <c r="N19" s="1">
        <v>14</v>
      </c>
      <c r="O19" s="1">
        <v>221</v>
      </c>
      <c r="P19" s="1">
        <v>532</v>
      </c>
      <c r="Q19" s="1">
        <v>2.407</v>
      </c>
      <c r="R19" s="1">
        <v>6.0650000000000004</v>
      </c>
      <c r="S19" s="1">
        <v>255</v>
      </c>
    </row>
    <row r="20" spans="2:19" x14ac:dyDescent="0.25">
      <c r="B20" s="1" t="s">
        <v>54</v>
      </c>
      <c r="C20" s="2">
        <v>85</v>
      </c>
      <c r="G20">
        <v>14</v>
      </c>
      <c r="H20" s="1">
        <v>6.0650000000000004</v>
      </c>
      <c r="J20">
        <v>23</v>
      </c>
      <c r="K20">
        <v>2.0739999999999998</v>
      </c>
      <c r="N20" s="1">
        <v>15</v>
      </c>
      <c r="O20" s="1">
        <v>238</v>
      </c>
      <c r="P20" s="1">
        <v>491</v>
      </c>
      <c r="Q20" s="1">
        <v>2.0630000000000002</v>
      </c>
      <c r="R20" s="1">
        <v>5.5970000000000004</v>
      </c>
      <c r="S20" s="1">
        <v>255</v>
      </c>
    </row>
    <row r="21" spans="2:19" x14ac:dyDescent="0.25">
      <c r="G21">
        <v>15</v>
      </c>
      <c r="H21" s="1">
        <v>5.5970000000000004</v>
      </c>
      <c r="J21">
        <v>24</v>
      </c>
      <c r="K21">
        <v>2.069</v>
      </c>
      <c r="N21" s="1">
        <v>16</v>
      </c>
      <c r="O21" s="1">
        <v>275</v>
      </c>
      <c r="P21" s="1">
        <v>627</v>
      </c>
      <c r="Q21" s="1">
        <v>2.2799999999999998</v>
      </c>
      <c r="R21" s="1">
        <v>7.1479999999999997</v>
      </c>
      <c r="S21" s="1">
        <v>255</v>
      </c>
    </row>
    <row r="22" spans="2:19" x14ac:dyDescent="0.25">
      <c r="G22">
        <v>16</v>
      </c>
      <c r="H22" s="1">
        <v>7.1479999999999997</v>
      </c>
      <c r="J22">
        <v>25</v>
      </c>
      <c r="K22">
        <v>2.0640000000000001</v>
      </c>
      <c r="N22" s="1">
        <v>17</v>
      </c>
      <c r="O22" s="1">
        <v>256</v>
      </c>
      <c r="P22" s="1">
        <v>594</v>
      </c>
      <c r="Q22" s="1">
        <v>2.3199999999999998</v>
      </c>
      <c r="R22" s="1">
        <v>6.7720000000000002</v>
      </c>
      <c r="S22" s="1">
        <v>255</v>
      </c>
    </row>
    <row r="23" spans="2:19" x14ac:dyDescent="0.25">
      <c r="C23" s="4"/>
      <c r="G23">
        <v>17</v>
      </c>
      <c r="H23" s="1">
        <v>6.7720000000000002</v>
      </c>
      <c r="J23">
        <v>26</v>
      </c>
      <c r="K23">
        <v>2.06</v>
      </c>
      <c r="N23" s="1">
        <v>18</v>
      </c>
      <c r="O23" s="1">
        <v>260</v>
      </c>
      <c r="P23" s="1">
        <v>640</v>
      </c>
      <c r="Q23" s="1">
        <v>2.4620000000000002</v>
      </c>
      <c r="R23" s="1">
        <v>7.2960000000000003</v>
      </c>
      <c r="S23" s="1">
        <v>255</v>
      </c>
    </row>
    <row r="24" spans="2:19" x14ac:dyDescent="0.25">
      <c r="G24">
        <v>18</v>
      </c>
      <c r="H24" s="1">
        <v>7.2960000000000003</v>
      </c>
      <c r="J24">
        <v>27</v>
      </c>
      <c r="K24">
        <v>2.056</v>
      </c>
      <c r="N24" s="1">
        <v>19</v>
      </c>
      <c r="O24" s="1">
        <v>235</v>
      </c>
      <c r="P24" s="1">
        <v>521</v>
      </c>
      <c r="Q24" s="1">
        <v>2.2170000000000001</v>
      </c>
      <c r="R24" s="1">
        <v>5.9390000000000001</v>
      </c>
      <c r="S24" s="1">
        <v>255</v>
      </c>
    </row>
    <row r="25" spans="2:19" x14ac:dyDescent="0.25">
      <c r="G25">
        <v>19</v>
      </c>
      <c r="H25" s="1">
        <v>5.9390000000000001</v>
      </c>
      <c r="J25">
        <v>28</v>
      </c>
      <c r="K25">
        <v>2.052</v>
      </c>
      <c r="N25" s="1">
        <v>20</v>
      </c>
      <c r="O25" s="1">
        <v>245</v>
      </c>
      <c r="P25" s="1">
        <v>557</v>
      </c>
      <c r="Q25" s="1">
        <v>2.2730000000000001</v>
      </c>
      <c r="R25" s="1">
        <v>6.35</v>
      </c>
      <c r="S25" s="1">
        <v>255</v>
      </c>
    </row>
    <row r="26" spans="2:19" x14ac:dyDescent="0.25">
      <c r="G26">
        <v>20</v>
      </c>
      <c r="H26" s="1">
        <v>6.35</v>
      </c>
      <c r="J26">
        <v>29</v>
      </c>
      <c r="K26">
        <v>2.048</v>
      </c>
      <c r="N26" s="1">
        <v>1</v>
      </c>
      <c r="O26" s="1">
        <v>260</v>
      </c>
      <c r="P26" s="1">
        <v>583</v>
      </c>
      <c r="Q26" s="1">
        <v>2.242</v>
      </c>
      <c r="R26" s="1">
        <v>6.6459999999999999</v>
      </c>
      <c r="S26" s="1">
        <v>255</v>
      </c>
    </row>
    <row r="27" spans="2:19" x14ac:dyDescent="0.25">
      <c r="G27">
        <v>21</v>
      </c>
      <c r="H27" s="1">
        <v>6.6459999999999999</v>
      </c>
      <c r="J27">
        <v>30</v>
      </c>
      <c r="K27">
        <v>2.0449999999999999</v>
      </c>
      <c r="N27" s="1">
        <v>2</v>
      </c>
      <c r="O27" s="1">
        <v>291</v>
      </c>
      <c r="P27" s="1">
        <v>729</v>
      </c>
      <c r="Q27" s="1">
        <v>2.5049999999999999</v>
      </c>
      <c r="R27" s="1">
        <v>8.3109999999999999</v>
      </c>
      <c r="S27" s="1">
        <v>255</v>
      </c>
    </row>
    <row r="28" spans="2:19" x14ac:dyDescent="0.25">
      <c r="G28">
        <v>22</v>
      </c>
      <c r="H28" s="1">
        <v>8.3109999999999999</v>
      </c>
      <c r="J28">
        <v>40</v>
      </c>
      <c r="K28">
        <v>2.02</v>
      </c>
      <c r="N28" s="1">
        <v>3</v>
      </c>
      <c r="O28" s="1">
        <v>268</v>
      </c>
      <c r="P28" s="1">
        <v>652</v>
      </c>
      <c r="Q28" s="1">
        <v>2.4329999999999998</v>
      </c>
      <c r="R28" s="1">
        <v>7.4329999999999998</v>
      </c>
      <c r="S28" s="1">
        <v>255</v>
      </c>
    </row>
    <row r="29" spans="2:19" x14ac:dyDescent="0.25">
      <c r="G29">
        <v>23</v>
      </c>
      <c r="H29" s="1">
        <v>7.4329999999999998</v>
      </c>
      <c r="J29">
        <v>60</v>
      </c>
      <c r="K29">
        <v>2</v>
      </c>
      <c r="N29" s="1">
        <v>4</v>
      </c>
      <c r="O29" s="1">
        <v>254</v>
      </c>
      <c r="P29" s="1">
        <v>551</v>
      </c>
      <c r="Q29" s="1">
        <v>2.169</v>
      </c>
      <c r="R29" s="1">
        <v>6.2809999999999997</v>
      </c>
      <c r="S29" s="1">
        <v>255</v>
      </c>
    </row>
    <row r="30" spans="2:19" x14ac:dyDescent="0.25">
      <c r="G30">
        <v>24</v>
      </c>
      <c r="H30" s="1">
        <v>6.2809999999999997</v>
      </c>
      <c r="N30" s="1">
        <v>5</v>
      </c>
      <c r="O30" s="1">
        <v>253</v>
      </c>
      <c r="P30" s="1">
        <v>522</v>
      </c>
      <c r="Q30" s="1">
        <v>2.0630000000000002</v>
      </c>
      <c r="R30" s="1">
        <v>5.9509999999999996</v>
      </c>
      <c r="S30" s="1">
        <v>255</v>
      </c>
    </row>
    <row r="31" spans="2:19" x14ac:dyDescent="0.25">
      <c r="G31">
        <v>25</v>
      </c>
      <c r="H31" s="1">
        <v>5.9509999999999996</v>
      </c>
      <c r="N31" s="1">
        <v>6</v>
      </c>
      <c r="O31" s="1">
        <v>252</v>
      </c>
      <c r="P31" s="1">
        <v>570</v>
      </c>
      <c r="Q31" s="1">
        <v>2.262</v>
      </c>
      <c r="R31" s="1">
        <v>6.4980000000000002</v>
      </c>
      <c r="S31" s="1">
        <v>255</v>
      </c>
    </row>
    <row r="32" spans="2:19" x14ac:dyDescent="0.25">
      <c r="G32">
        <v>26</v>
      </c>
      <c r="H32" s="1">
        <v>6.4980000000000002</v>
      </c>
      <c r="N32" s="1">
        <v>7</v>
      </c>
      <c r="O32" s="1">
        <v>241</v>
      </c>
      <c r="P32" s="1">
        <v>587</v>
      </c>
      <c r="Q32" s="1">
        <v>2.4359999999999999</v>
      </c>
      <c r="R32" s="1">
        <v>6.6920000000000002</v>
      </c>
      <c r="S32" s="1">
        <v>255</v>
      </c>
    </row>
    <row r="33" spans="7:19" x14ac:dyDescent="0.25">
      <c r="G33">
        <v>27</v>
      </c>
      <c r="H33" s="1">
        <v>6.6920000000000002</v>
      </c>
      <c r="N33" s="1">
        <v>8</v>
      </c>
      <c r="O33" s="1">
        <v>240</v>
      </c>
      <c r="P33" s="1">
        <v>561</v>
      </c>
      <c r="Q33" s="1">
        <v>2.3370000000000002</v>
      </c>
      <c r="R33" s="1">
        <v>6.3949999999999996</v>
      </c>
      <c r="S33" s="1">
        <v>255</v>
      </c>
    </row>
    <row r="34" spans="7:19" x14ac:dyDescent="0.25">
      <c r="G34">
        <v>28</v>
      </c>
      <c r="H34" s="1">
        <v>6.3949999999999996</v>
      </c>
      <c r="N34" s="1">
        <v>9</v>
      </c>
      <c r="O34" s="1">
        <v>221</v>
      </c>
      <c r="P34" s="1">
        <v>455</v>
      </c>
      <c r="Q34" s="1">
        <v>2.0590000000000002</v>
      </c>
      <c r="R34" s="1">
        <v>5.1870000000000003</v>
      </c>
      <c r="S34" s="1">
        <v>255</v>
      </c>
    </row>
    <row r="35" spans="7:19" x14ac:dyDescent="0.25">
      <c r="G35">
        <v>29</v>
      </c>
      <c r="H35" s="1">
        <v>5.1870000000000003</v>
      </c>
      <c r="N35" s="1">
        <v>10</v>
      </c>
      <c r="O35" s="1">
        <v>216</v>
      </c>
      <c r="P35" s="1">
        <v>514</v>
      </c>
      <c r="Q35" s="1">
        <v>2.38</v>
      </c>
      <c r="R35" s="1">
        <v>5.86</v>
      </c>
      <c r="S35" s="1">
        <v>255</v>
      </c>
    </row>
    <row r="36" spans="7:19" x14ac:dyDescent="0.25">
      <c r="G36">
        <v>30</v>
      </c>
      <c r="H36" s="1">
        <v>5.86</v>
      </c>
      <c r="N36" s="1">
        <v>11</v>
      </c>
      <c r="O36" s="1">
        <v>228</v>
      </c>
      <c r="P36" s="1">
        <v>591</v>
      </c>
      <c r="Q36" s="1">
        <v>2.5920000000000001</v>
      </c>
      <c r="R36" s="1">
        <v>6.7370000000000001</v>
      </c>
      <c r="S36" s="1">
        <v>255</v>
      </c>
    </row>
    <row r="37" spans="7:19" x14ac:dyDescent="0.25">
      <c r="G37">
        <v>31</v>
      </c>
      <c r="H37" s="1">
        <v>6.7370000000000001</v>
      </c>
      <c r="N37" s="1">
        <v>12</v>
      </c>
      <c r="O37" s="1">
        <v>259</v>
      </c>
      <c r="P37" s="1">
        <v>529</v>
      </c>
      <c r="Q37" s="1">
        <v>2.0419999999999998</v>
      </c>
      <c r="R37" s="1">
        <v>6.0309999999999997</v>
      </c>
      <c r="S37" s="1">
        <v>255</v>
      </c>
    </row>
    <row r="38" spans="7:19" x14ac:dyDescent="0.25">
      <c r="G38">
        <v>32</v>
      </c>
      <c r="H38" s="1">
        <v>6.0309999999999997</v>
      </c>
      <c r="N38" s="1">
        <v>13</v>
      </c>
      <c r="O38" s="1">
        <v>242</v>
      </c>
      <c r="P38" s="1">
        <v>512</v>
      </c>
      <c r="Q38" s="1">
        <v>2.1160000000000001</v>
      </c>
      <c r="R38" s="1">
        <v>5.8369999999999997</v>
      </c>
      <c r="S38" s="1">
        <v>255</v>
      </c>
    </row>
    <row r="39" spans="7:19" x14ac:dyDescent="0.25">
      <c r="G39">
        <v>33</v>
      </c>
      <c r="H39" s="1">
        <v>5.8369999999999997</v>
      </c>
      <c r="N39" s="1">
        <v>14</v>
      </c>
      <c r="O39" s="1">
        <v>225</v>
      </c>
      <c r="P39" s="1">
        <v>511</v>
      </c>
      <c r="Q39" s="1">
        <v>2.2709999999999999</v>
      </c>
      <c r="R39" s="1">
        <v>5.8250000000000002</v>
      </c>
      <c r="S39" s="1">
        <v>255</v>
      </c>
    </row>
    <row r="40" spans="7:19" x14ac:dyDescent="0.25">
      <c r="G40">
        <v>34</v>
      </c>
      <c r="H40" s="1">
        <v>5.8250000000000002</v>
      </c>
      <c r="N40" s="1">
        <v>15</v>
      </c>
      <c r="O40" s="1">
        <v>240</v>
      </c>
      <c r="P40" s="1">
        <v>604</v>
      </c>
      <c r="Q40" s="1">
        <v>2.5169999999999999</v>
      </c>
      <c r="R40" s="1">
        <v>6.8860000000000001</v>
      </c>
      <c r="S40" s="1">
        <v>255</v>
      </c>
    </row>
    <row r="41" spans="7:19" x14ac:dyDescent="0.25">
      <c r="G41">
        <v>35</v>
      </c>
      <c r="H41" s="1">
        <v>6.8860000000000001</v>
      </c>
      <c r="N41" s="1">
        <v>16</v>
      </c>
      <c r="O41" s="1">
        <v>276</v>
      </c>
      <c r="P41" s="1">
        <v>580</v>
      </c>
      <c r="Q41" s="1">
        <v>2.101</v>
      </c>
      <c r="R41" s="1">
        <v>6.6120000000000001</v>
      </c>
      <c r="S41" s="1">
        <v>255</v>
      </c>
    </row>
    <row r="42" spans="7:19" x14ac:dyDescent="0.25">
      <c r="G42">
        <v>36</v>
      </c>
      <c r="H42" s="1">
        <v>6.6120000000000001</v>
      </c>
      <c r="N42" s="1">
        <v>17</v>
      </c>
      <c r="O42" s="1">
        <v>247</v>
      </c>
      <c r="P42" s="1">
        <v>535</v>
      </c>
      <c r="Q42" s="1">
        <v>2.1659999999999999</v>
      </c>
      <c r="R42" s="1">
        <v>6.0990000000000002</v>
      </c>
      <c r="S42" s="1">
        <v>255</v>
      </c>
    </row>
    <row r="43" spans="7:19" x14ac:dyDescent="0.25">
      <c r="G43">
        <v>37</v>
      </c>
      <c r="H43" s="1">
        <v>6.0990000000000002</v>
      </c>
      <c r="N43" s="1">
        <v>18</v>
      </c>
      <c r="O43" s="1">
        <v>248</v>
      </c>
      <c r="P43" s="1">
        <v>498</v>
      </c>
      <c r="Q43" s="1">
        <v>2.008</v>
      </c>
      <c r="R43" s="1">
        <v>5.6769999999999996</v>
      </c>
      <c r="S43" s="1">
        <v>255</v>
      </c>
    </row>
    <row r="44" spans="7:19" x14ac:dyDescent="0.25">
      <c r="G44">
        <v>38</v>
      </c>
      <c r="H44" s="1">
        <v>5.6769999999999996</v>
      </c>
      <c r="N44" s="1">
        <v>19</v>
      </c>
      <c r="O44" s="1">
        <v>246</v>
      </c>
      <c r="P44" s="1">
        <v>483</v>
      </c>
      <c r="Q44" s="1">
        <v>1.9630000000000001</v>
      </c>
      <c r="R44" s="1">
        <v>5.5060000000000002</v>
      </c>
      <c r="S44" s="1">
        <v>255</v>
      </c>
    </row>
    <row r="45" spans="7:19" x14ac:dyDescent="0.25">
      <c r="G45">
        <v>39</v>
      </c>
      <c r="H45" s="1">
        <v>5.5060000000000002</v>
      </c>
      <c r="N45" s="1">
        <v>20</v>
      </c>
      <c r="O45" s="1">
        <v>248</v>
      </c>
      <c r="P45" s="1">
        <v>513</v>
      </c>
      <c r="Q45" s="1">
        <v>2.069</v>
      </c>
      <c r="R45" s="1">
        <v>5.8479999999999999</v>
      </c>
      <c r="S45" s="1">
        <v>255</v>
      </c>
    </row>
    <row r="46" spans="7:19" x14ac:dyDescent="0.25">
      <c r="G46">
        <v>40</v>
      </c>
      <c r="H46" s="1">
        <v>5.8479999999999999</v>
      </c>
    </row>
    <row r="47" spans="7:19" x14ac:dyDescent="0.25">
      <c r="G47"/>
    </row>
    <row r="48" spans="7:19" x14ac:dyDescent="0.25">
      <c r="G48"/>
    </row>
    <row r="49" spans="7:7" x14ac:dyDescent="0.25">
      <c r="G49"/>
    </row>
    <row r="50" spans="7:7" x14ac:dyDescent="0.25">
      <c r="G50"/>
    </row>
    <row r="51" spans="7:7" x14ac:dyDescent="0.25">
      <c r="G51"/>
    </row>
    <row r="52" spans="7:7" x14ac:dyDescent="0.25">
      <c r="G52"/>
    </row>
    <row r="53" spans="7:7" x14ac:dyDescent="0.25">
      <c r="G53"/>
    </row>
    <row r="54" spans="7:7" x14ac:dyDescent="0.25">
      <c r="G54"/>
    </row>
    <row r="55" spans="7:7" x14ac:dyDescent="0.25">
      <c r="G55"/>
    </row>
    <row r="56" spans="7:7" x14ac:dyDescent="0.25">
      <c r="G56"/>
    </row>
    <row r="57" spans="7:7" x14ac:dyDescent="0.25">
      <c r="G57"/>
    </row>
    <row r="58" spans="7:7" x14ac:dyDescent="0.25">
      <c r="G58"/>
    </row>
    <row r="59" spans="7:7" x14ac:dyDescent="0.25">
      <c r="G59"/>
    </row>
    <row r="60" spans="7:7" x14ac:dyDescent="0.25">
      <c r="G60"/>
    </row>
    <row r="61" spans="7:7" x14ac:dyDescent="0.25">
      <c r="G61"/>
    </row>
    <row r="62" spans="7:7" x14ac:dyDescent="0.25">
      <c r="G62"/>
    </row>
    <row r="63" spans="7:7" x14ac:dyDescent="0.25">
      <c r="G63"/>
    </row>
    <row r="64" spans="7:7" x14ac:dyDescent="0.25">
      <c r="G64"/>
    </row>
    <row r="65" spans="7:7" x14ac:dyDescent="0.25">
      <c r="G65"/>
    </row>
    <row r="66" spans="7:7" x14ac:dyDescent="0.25">
      <c r="G66"/>
    </row>
  </sheetData>
  <mergeCells count="1">
    <mergeCell ref="B1:C1"/>
  </mergeCells>
  <pageMargins left="0.7" right="0.7" top="0.75" bottom="0.75" header="0.3" footer="0.3"/>
  <pageSetup orientation="portrait" r:id="rId1"/>
  <drawing r:id="rId2"/>
  <tableParts count="2">
    <tablePart r:id="rId3"/>
    <tablePart r:id="rId4"/>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9FC0E-CE88-5A41-BB32-DA7D02301C2A}">
  <sheetPr codeName="Sheet11">
    <tabColor theme="0" tint="-0.249977111117893"/>
  </sheetPr>
  <dimension ref="B1:S66"/>
  <sheetViews>
    <sheetView zoomScaleNormal="100" workbookViewId="0">
      <selection activeCell="C5" sqref="C5"/>
    </sheetView>
  </sheetViews>
  <sheetFormatPr defaultColWidth="9.140625" defaultRowHeight="15" x14ac:dyDescent="0.25"/>
  <cols>
    <col min="1" max="1" width="3" style="1" customWidth="1"/>
    <col min="2" max="2" width="46" style="1" customWidth="1"/>
    <col min="3" max="3" width="27.140625" style="1" customWidth="1"/>
    <col min="4" max="5" width="3" style="1" customWidth="1"/>
    <col min="6" max="6" width="9.140625" style="1"/>
    <col min="7" max="7" width="36.28515625" style="1" bestFit="1" customWidth="1"/>
    <col min="8" max="8" width="14.85546875" style="1" bestFit="1" customWidth="1"/>
    <col min="9" max="9" width="9.140625" style="1"/>
    <col min="10" max="10" width="23" style="1" customWidth="1"/>
    <col min="11" max="16384" width="9.140625" style="1"/>
  </cols>
  <sheetData>
    <row r="1" spans="2:19" ht="23.25" x14ac:dyDescent="0.25">
      <c r="B1" s="18" t="s">
        <v>28</v>
      </c>
      <c r="C1" s="18"/>
    </row>
    <row r="2" spans="2:19" ht="20.25" thickBot="1" x14ac:dyDescent="0.35">
      <c r="B2" s="8" t="s">
        <v>20</v>
      </c>
    </row>
    <row r="3" spans="2:19" ht="45.75" customHeight="1" thickTop="1" x14ac:dyDescent="0.25">
      <c r="B3" s="5" t="s">
        <v>22</v>
      </c>
    </row>
    <row r="4" spans="2:19" x14ac:dyDescent="0.25">
      <c r="B4" s="5"/>
    </row>
    <row r="5" spans="2:19" x14ac:dyDescent="0.25">
      <c r="B5" t="s">
        <v>16</v>
      </c>
      <c r="C5" s="12" t="s">
        <v>68</v>
      </c>
      <c r="G5" t="s">
        <v>14</v>
      </c>
      <c r="H5" t="s">
        <v>15</v>
      </c>
    </row>
    <row r="6" spans="2:19" x14ac:dyDescent="0.25">
      <c r="B6" t="s">
        <v>17</v>
      </c>
      <c r="C6" s="2" t="s">
        <v>21</v>
      </c>
      <c r="G6" t="s">
        <v>11</v>
      </c>
      <c r="H6" t="s">
        <v>13</v>
      </c>
      <c r="J6" t="s">
        <v>58</v>
      </c>
      <c r="K6">
        <f>MAX(G7:G66)</f>
        <v>60</v>
      </c>
      <c r="N6" s="1">
        <v>1</v>
      </c>
      <c r="O6" s="1">
        <v>296</v>
      </c>
      <c r="P6" s="1">
        <v>728</v>
      </c>
      <c r="Q6" s="1">
        <v>2.4590000000000001</v>
      </c>
      <c r="R6" s="1">
        <v>8.1110000000000007</v>
      </c>
      <c r="S6" s="1">
        <v>255</v>
      </c>
    </row>
    <row r="7" spans="2:19" x14ac:dyDescent="0.25">
      <c r="B7" t="s">
        <v>18</v>
      </c>
      <c r="C7" s="6">
        <f ca="1">TODAY()</f>
        <v>45321</v>
      </c>
      <c r="G7">
        <v>1</v>
      </c>
      <c r="H7" s="1">
        <v>8.1110000000000007</v>
      </c>
      <c r="J7" t="s">
        <v>59</v>
      </c>
      <c r="K7">
        <f>VLOOKUP(K6,confidence_95_multiplier12202224[#All],2,FALSE)</f>
        <v>2</v>
      </c>
      <c r="N7" s="1">
        <v>2</v>
      </c>
      <c r="O7" s="1">
        <v>231</v>
      </c>
      <c r="P7" s="1">
        <v>552</v>
      </c>
      <c r="Q7" s="1">
        <v>2.39</v>
      </c>
      <c r="R7" s="1">
        <v>6.15</v>
      </c>
      <c r="S7" s="1">
        <v>255</v>
      </c>
    </row>
    <row r="8" spans="2:19" x14ac:dyDescent="0.25">
      <c r="G8">
        <v>2</v>
      </c>
      <c r="H8" s="1">
        <v>6.15</v>
      </c>
      <c r="J8" t="s">
        <v>60</v>
      </c>
      <c r="K8">
        <f>AVERAGE(porosity_readings11192123[x_i])</f>
        <v>6.2969666666666653</v>
      </c>
      <c r="N8" s="1">
        <v>3</v>
      </c>
      <c r="O8" s="1">
        <v>284</v>
      </c>
      <c r="P8" s="1">
        <v>725</v>
      </c>
      <c r="Q8" s="1">
        <v>2.5529999999999999</v>
      </c>
      <c r="R8" s="1">
        <v>8.077</v>
      </c>
      <c r="S8" s="1">
        <v>255</v>
      </c>
    </row>
    <row r="9" spans="2:19" x14ac:dyDescent="0.25">
      <c r="B9" t="s">
        <v>55</v>
      </c>
      <c r="C9" s="3">
        <v>1000</v>
      </c>
      <c r="G9">
        <v>3</v>
      </c>
      <c r="H9" s="1">
        <v>8.077</v>
      </c>
      <c r="J9" t="s">
        <v>61</v>
      </c>
      <c r="K9">
        <f>_xlfn.STDEV.S(porosity_readings11192123[x_i])</f>
        <v>0.76775960588545067</v>
      </c>
      <c r="N9" s="1">
        <v>4</v>
      </c>
      <c r="O9" s="1">
        <v>272</v>
      </c>
      <c r="P9" s="1">
        <v>688</v>
      </c>
      <c r="Q9" s="1">
        <v>2.5289999999999999</v>
      </c>
      <c r="R9" s="1">
        <v>7.665</v>
      </c>
      <c r="S9" s="1">
        <v>255</v>
      </c>
    </row>
    <row r="10" spans="2:19" x14ac:dyDescent="0.25">
      <c r="B10" t="s">
        <v>26</v>
      </c>
      <c r="C10" s="11">
        <f>HVOF_APS_Al2O3_0250X!K8</f>
        <v>6.2969666666666653</v>
      </c>
      <c r="G10">
        <v>4</v>
      </c>
      <c r="H10" s="1">
        <v>7.665</v>
      </c>
      <c r="J10" t="s">
        <v>62</v>
      </c>
      <c r="K10" s="7">
        <f>K9*K7/(SQRT(K6))</f>
        <v>0.19823467783234136</v>
      </c>
      <c r="N10" s="1">
        <v>5</v>
      </c>
      <c r="O10" s="1">
        <v>268</v>
      </c>
      <c r="P10" s="1">
        <v>676</v>
      </c>
      <c r="Q10" s="1">
        <v>2.5219999999999998</v>
      </c>
      <c r="R10" s="1">
        <v>7.5309999999999997</v>
      </c>
      <c r="S10" s="1">
        <v>255</v>
      </c>
    </row>
    <row r="11" spans="2:19" x14ac:dyDescent="0.25">
      <c r="B11" t="s">
        <v>25</v>
      </c>
      <c r="C11" s="9">
        <f>HVOF_APS_Al2O3_0250X!K12</f>
        <v>4.4470000000000001</v>
      </c>
      <c r="G11">
        <v>5</v>
      </c>
      <c r="H11" s="1">
        <v>7.5309999999999997</v>
      </c>
      <c r="J11" t="s">
        <v>63</v>
      </c>
      <c r="K11" s="7">
        <f>K10/K8</f>
        <v>3.1480979386743047E-2</v>
      </c>
      <c r="N11" s="1">
        <v>6</v>
      </c>
      <c r="O11" s="1">
        <v>248</v>
      </c>
      <c r="P11" s="1">
        <v>527</v>
      </c>
      <c r="Q11" s="1">
        <v>2.125</v>
      </c>
      <c r="R11" s="1">
        <v>5.8710000000000004</v>
      </c>
      <c r="S11" s="1">
        <v>255</v>
      </c>
    </row>
    <row r="12" spans="2:19" x14ac:dyDescent="0.25">
      <c r="B12" t="s">
        <v>24</v>
      </c>
      <c r="C12" s="9">
        <f>HVOF_APS_Al2O3_0250X!K13</f>
        <v>8.4589999999999996</v>
      </c>
      <c r="G12">
        <v>6</v>
      </c>
      <c r="H12" s="1">
        <v>5.8710000000000004</v>
      </c>
      <c r="J12" t="s">
        <v>64</v>
      </c>
      <c r="K12">
        <f>MIN(porosity_readings11192123[x_i])</f>
        <v>4.4470000000000001</v>
      </c>
      <c r="N12" s="1">
        <v>7</v>
      </c>
      <c r="O12" s="1">
        <v>261</v>
      </c>
      <c r="P12" s="1">
        <v>603</v>
      </c>
      <c r="Q12" s="1">
        <v>2.31</v>
      </c>
      <c r="R12" s="1">
        <v>6.718</v>
      </c>
      <c r="S12" s="1">
        <v>255</v>
      </c>
    </row>
    <row r="13" spans="2:19" x14ac:dyDescent="0.25">
      <c r="B13" t="s">
        <v>12</v>
      </c>
      <c r="C13" s="11">
        <f>HVOF_APS_Al2O3_0250X!K9</f>
        <v>0.76775960588545067</v>
      </c>
      <c r="G13">
        <v>7</v>
      </c>
      <c r="H13" s="1">
        <v>6.718</v>
      </c>
      <c r="J13" t="s">
        <v>65</v>
      </c>
      <c r="K13">
        <f>MAX(porosity_readings11192123[x_i])</f>
        <v>8.4589999999999996</v>
      </c>
      <c r="N13" s="1">
        <v>8</v>
      </c>
      <c r="O13" s="1">
        <v>267</v>
      </c>
      <c r="P13" s="1">
        <v>582</v>
      </c>
      <c r="Q13" s="1">
        <v>2.1800000000000002</v>
      </c>
      <c r="R13" s="1">
        <v>6.484</v>
      </c>
      <c r="S13" s="1">
        <v>255</v>
      </c>
    </row>
    <row r="14" spans="2:19" x14ac:dyDescent="0.25">
      <c r="B14" t="s">
        <v>19</v>
      </c>
      <c r="C14" s="10">
        <f>HVOF_APS_Al2O3_0250X!K10</f>
        <v>0.19823467783234136</v>
      </c>
      <c r="G14">
        <v>8</v>
      </c>
      <c r="H14" s="1">
        <v>6.484</v>
      </c>
      <c r="N14" s="1">
        <v>9</v>
      </c>
      <c r="O14" s="1">
        <v>244</v>
      </c>
      <c r="P14" s="1">
        <v>575</v>
      </c>
      <c r="Q14" s="1">
        <v>2.3570000000000002</v>
      </c>
      <c r="R14" s="1">
        <v>6.4059999999999997</v>
      </c>
      <c r="S14" s="1">
        <v>255</v>
      </c>
    </row>
    <row r="15" spans="2:19" x14ac:dyDescent="0.25">
      <c r="B15" t="s">
        <v>27</v>
      </c>
      <c r="C15" s="14">
        <f>HVOF_APS_Al2O3_0250X!K11</f>
        <v>3.1480979386743047E-2</v>
      </c>
      <c r="G15">
        <v>9</v>
      </c>
      <c r="H15" s="1">
        <v>6.4059999999999997</v>
      </c>
      <c r="J15" t="s">
        <v>5</v>
      </c>
      <c r="K15"/>
      <c r="N15" s="1">
        <v>10</v>
      </c>
      <c r="O15" s="1">
        <v>239</v>
      </c>
      <c r="P15" s="1">
        <v>485</v>
      </c>
      <c r="Q15" s="1">
        <v>2.0289999999999999</v>
      </c>
      <c r="R15" s="1">
        <v>5.4029999999999996</v>
      </c>
      <c r="S15" s="1">
        <v>255</v>
      </c>
    </row>
    <row r="16" spans="2:19" x14ac:dyDescent="0.25">
      <c r="B16" t="s">
        <v>23</v>
      </c>
      <c r="C16" s="2">
        <f>HVOF_APS_Al2O3_0250X!K6</f>
        <v>60</v>
      </c>
      <c r="G16">
        <v>10</v>
      </c>
      <c r="H16" s="1">
        <v>5.4029999999999996</v>
      </c>
      <c r="J16" t="s">
        <v>3</v>
      </c>
      <c r="K16" t="s">
        <v>4</v>
      </c>
      <c r="N16" s="1">
        <v>11</v>
      </c>
      <c r="O16" s="1">
        <v>250</v>
      </c>
      <c r="P16" s="1">
        <v>629</v>
      </c>
      <c r="Q16" s="1">
        <v>2.516</v>
      </c>
      <c r="R16" s="1">
        <v>7.008</v>
      </c>
      <c r="S16" s="1">
        <v>255</v>
      </c>
    </row>
    <row r="17" spans="2:19" x14ac:dyDescent="0.25">
      <c r="G17">
        <v>11</v>
      </c>
      <c r="H17" s="1">
        <v>7.008</v>
      </c>
      <c r="J17">
        <v>20</v>
      </c>
      <c r="K17">
        <v>2.093</v>
      </c>
      <c r="N17" s="1">
        <v>12</v>
      </c>
      <c r="O17" s="1">
        <v>243</v>
      </c>
      <c r="P17" s="1">
        <v>595</v>
      </c>
      <c r="Q17" s="1">
        <v>2.4489999999999998</v>
      </c>
      <c r="R17" s="1">
        <v>6.6289999999999996</v>
      </c>
      <c r="S17" s="1">
        <v>255</v>
      </c>
    </row>
    <row r="18" spans="2:19" x14ac:dyDescent="0.25">
      <c r="B18" s="1" t="s">
        <v>66</v>
      </c>
      <c r="C18" s="3">
        <v>0</v>
      </c>
      <c r="G18">
        <v>12</v>
      </c>
      <c r="H18" s="1">
        <v>6.6289999999999996</v>
      </c>
      <c r="J18">
        <v>21</v>
      </c>
      <c r="K18">
        <v>2.0859999999999999</v>
      </c>
      <c r="N18" s="1">
        <v>13</v>
      </c>
      <c r="O18" s="1">
        <v>229</v>
      </c>
      <c r="P18" s="1">
        <v>519</v>
      </c>
      <c r="Q18" s="1">
        <v>2.266</v>
      </c>
      <c r="R18" s="1">
        <v>5.782</v>
      </c>
      <c r="S18" s="1">
        <v>255</v>
      </c>
    </row>
    <row r="19" spans="2:19" x14ac:dyDescent="0.25">
      <c r="B19" s="1" t="s">
        <v>53</v>
      </c>
      <c r="C19" s="2">
        <v>0</v>
      </c>
      <c r="G19">
        <v>13</v>
      </c>
      <c r="H19" s="1">
        <v>5.782</v>
      </c>
      <c r="J19">
        <v>22</v>
      </c>
      <c r="K19">
        <v>2.08</v>
      </c>
      <c r="N19" s="1">
        <v>14</v>
      </c>
      <c r="O19" s="1">
        <v>229</v>
      </c>
      <c r="P19" s="1">
        <v>535</v>
      </c>
      <c r="Q19" s="1">
        <v>2.3359999999999999</v>
      </c>
      <c r="R19" s="1">
        <v>5.96</v>
      </c>
      <c r="S19" s="1">
        <v>255</v>
      </c>
    </row>
    <row r="20" spans="2:19" x14ac:dyDescent="0.25">
      <c r="B20" s="1" t="s">
        <v>54</v>
      </c>
      <c r="C20" s="2">
        <v>85</v>
      </c>
      <c r="G20">
        <v>14</v>
      </c>
      <c r="H20" s="1">
        <v>5.96</v>
      </c>
      <c r="J20">
        <v>23</v>
      </c>
      <c r="K20">
        <v>2.0739999999999998</v>
      </c>
      <c r="N20" s="1">
        <v>15</v>
      </c>
      <c r="O20" s="1">
        <v>248</v>
      </c>
      <c r="P20" s="1">
        <v>516</v>
      </c>
      <c r="Q20" s="1">
        <v>2.081</v>
      </c>
      <c r="R20" s="1">
        <v>5.7489999999999997</v>
      </c>
      <c r="S20" s="1">
        <v>255</v>
      </c>
    </row>
    <row r="21" spans="2:19" x14ac:dyDescent="0.25">
      <c r="G21">
        <v>15</v>
      </c>
      <c r="H21" s="1">
        <v>5.7489999999999997</v>
      </c>
      <c r="J21">
        <v>24</v>
      </c>
      <c r="K21">
        <v>2.069</v>
      </c>
      <c r="N21" s="1">
        <v>16</v>
      </c>
      <c r="O21" s="1">
        <v>288</v>
      </c>
      <c r="P21" s="1">
        <v>665</v>
      </c>
      <c r="Q21" s="1">
        <v>2.3090000000000002</v>
      </c>
      <c r="R21" s="1">
        <v>7.4089999999999998</v>
      </c>
      <c r="S21" s="1">
        <v>255</v>
      </c>
    </row>
    <row r="22" spans="2:19" x14ac:dyDescent="0.25">
      <c r="G22">
        <v>16</v>
      </c>
      <c r="H22" s="1">
        <v>7.4089999999999998</v>
      </c>
      <c r="J22">
        <v>25</v>
      </c>
      <c r="K22">
        <v>2.0640000000000001</v>
      </c>
      <c r="N22" s="1">
        <v>17</v>
      </c>
      <c r="O22" s="1">
        <v>264</v>
      </c>
      <c r="P22" s="1">
        <v>618</v>
      </c>
      <c r="Q22" s="1">
        <v>2.3410000000000002</v>
      </c>
      <c r="R22" s="1">
        <v>6.8849999999999998</v>
      </c>
      <c r="S22" s="1">
        <v>255</v>
      </c>
    </row>
    <row r="23" spans="2:19" x14ac:dyDescent="0.25">
      <c r="C23" s="4"/>
      <c r="G23">
        <v>17</v>
      </c>
      <c r="H23" s="1">
        <v>6.8849999999999998</v>
      </c>
      <c r="J23">
        <v>26</v>
      </c>
      <c r="K23">
        <v>2.06</v>
      </c>
      <c r="N23" s="1">
        <v>18</v>
      </c>
      <c r="O23" s="1">
        <v>263</v>
      </c>
      <c r="P23" s="1">
        <v>643</v>
      </c>
      <c r="Q23" s="1">
        <v>2.4449999999999998</v>
      </c>
      <c r="R23" s="1">
        <v>7.1639999999999997</v>
      </c>
      <c r="S23" s="1">
        <v>255</v>
      </c>
    </row>
    <row r="24" spans="2:19" x14ac:dyDescent="0.25">
      <c r="G24">
        <v>18</v>
      </c>
      <c r="H24" s="1">
        <v>7.1639999999999997</v>
      </c>
      <c r="J24">
        <v>27</v>
      </c>
      <c r="K24">
        <v>2.056</v>
      </c>
      <c r="N24" s="1">
        <v>19</v>
      </c>
      <c r="O24" s="1">
        <v>235</v>
      </c>
      <c r="P24" s="1">
        <v>529</v>
      </c>
      <c r="Q24" s="1">
        <v>2.2509999999999999</v>
      </c>
      <c r="R24" s="1">
        <v>5.8929999999999998</v>
      </c>
      <c r="S24" s="1">
        <v>255</v>
      </c>
    </row>
    <row r="25" spans="2:19" x14ac:dyDescent="0.25">
      <c r="G25">
        <v>19</v>
      </c>
      <c r="H25" s="1">
        <v>5.8929999999999998</v>
      </c>
      <c r="J25">
        <v>28</v>
      </c>
      <c r="K25">
        <v>2.052</v>
      </c>
      <c r="N25" s="1">
        <v>20</v>
      </c>
      <c r="O25" s="1">
        <v>244</v>
      </c>
      <c r="P25" s="1">
        <v>560</v>
      </c>
      <c r="Q25" s="1">
        <v>2.2949999999999999</v>
      </c>
      <c r="R25" s="1">
        <v>6.2389999999999999</v>
      </c>
      <c r="S25" s="1">
        <v>255</v>
      </c>
    </row>
    <row r="26" spans="2:19" x14ac:dyDescent="0.25">
      <c r="G26">
        <v>20</v>
      </c>
      <c r="H26" s="1">
        <v>6.2389999999999999</v>
      </c>
      <c r="J26">
        <v>29</v>
      </c>
      <c r="K26">
        <v>2.048</v>
      </c>
      <c r="N26" s="1">
        <v>1</v>
      </c>
      <c r="O26" s="1">
        <v>261</v>
      </c>
      <c r="P26" s="1">
        <v>585</v>
      </c>
      <c r="Q26" s="1">
        <v>2.2410000000000001</v>
      </c>
      <c r="R26" s="1">
        <v>6.6689999999999996</v>
      </c>
      <c r="S26" s="1">
        <v>255</v>
      </c>
    </row>
    <row r="27" spans="2:19" x14ac:dyDescent="0.25">
      <c r="G27">
        <v>21</v>
      </c>
      <c r="H27" s="1">
        <v>6.6689999999999996</v>
      </c>
      <c r="J27">
        <v>30</v>
      </c>
      <c r="K27">
        <v>2.0449999999999999</v>
      </c>
      <c r="N27" s="1">
        <v>2</v>
      </c>
      <c r="O27" s="1">
        <v>301</v>
      </c>
      <c r="P27" s="1">
        <v>742</v>
      </c>
      <c r="Q27" s="1">
        <v>2.4649999999999999</v>
      </c>
      <c r="R27" s="1">
        <v>8.4589999999999996</v>
      </c>
      <c r="S27" s="1">
        <v>255</v>
      </c>
    </row>
    <row r="28" spans="2:19" x14ac:dyDescent="0.25">
      <c r="G28">
        <v>22</v>
      </c>
      <c r="H28" s="1">
        <v>8.4589999999999996</v>
      </c>
      <c r="J28">
        <v>40</v>
      </c>
      <c r="K28">
        <v>2.02</v>
      </c>
      <c r="N28" s="1">
        <v>3</v>
      </c>
      <c r="O28" s="1">
        <v>265</v>
      </c>
      <c r="P28" s="1">
        <v>647</v>
      </c>
      <c r="Q28" s="1">
        <v>2.4420000000000002</v>
      </c>
      <c r="R28" s="1">
        <v>7.3760000000000003</v>
      </c>
      <c r="S28" s="1">
        <v>255</v>
      </c>
    </row>
    <row r="29" spans="2:19" x14ac:dyDescent="0.25">
      <c r="G29">
        <v>23</v>
      </c>
      <c r="H29" s="1">
        <v>7.3760000000000003</v>
      </c>
      <c r="J29">
        <v>60</v>
      </c>
      <c r="K29">
        <v>2</v>
      </c>
      <c r="N29" s="1">
        <v>4</v>
      </c>
      <c r="O29" s="1">
        <v>259</v>
      </c>
      <c r="P29" s="1">
        <v>562</v>
      </c>
      <c r="Q29" s="1">
        <v>2.17</v>
      </c>
      <c r="R29" s="1">
        <v>6.407</v>
      </c>
      <c r="S29" s="1">
        <v>255</v>
      </c>
    </row>
    <row r="30" spans="2:19" x14ac:dyDescent="0.25">
      <c r="G30">
        <v>24</v>
      </c>
      <c r="H30" s="1">
        <v>6.407</v>
      </c>
      <c r="N30" s="1">
        <v>5</v>
      </c>
      <c r="O30" s="1">
        <v>254</v>
      </c>
      <c r="P30" s="1">
        <v>528</v>
      </c>
      <c r="Q30" s="1">
        <v>2.0790000000000002</v>
      </c>
      <c r="R30" s="1">
        <v>6.0190000000000001</v>
      </c>
      <c r="S30" s="1">
        <v>255</v>
      </c>
    </row>
    <row r="31" spans="2:19" x14ac:dyDescent="0.25">
      <c r="G31">
        <v>25</v>
      </c>
      <c r="H31" s="1">
        <v>6.0190000000000001</v>
      </c>
      <c r="N31" s="1">
        <v>6</v>
      </c>
      <c r="O31" s="1">
        <v>255</v>
      </c>
      <c r="P31" s="1">
        <v>572</v>
      </c>
      <c r="Q31" s="1">
        <v>2.2429999999999999</v>
      </c>
      <c r="R31" s="1">
        <v>6.5209999999999999</v>
      </c>
      <c r="S31" s="1">
        <v>255</v>
      </c>
    </row>
    <row r="32" spans="2:19" x14ac:dyDescent="0.25">
      <c r="G32">
        <v>26</v>
      </c>
      <c r="H32" s="1">
        <v>6.5209999999999999</v>
      </c>
      <c r="N32" s="1">
        <v>7</v>
      </c>
      <c r="O32" s="1">
        <v>240</v>
      </c>
      <c r="P32" s="1">
        <v>588</v>
      </c>
      <c r="Q32" s="1">
        <v>2.4500000000000002</v>
      </c>
      <c r="R32" s="1">
        <v>6.7030000000000003</v>
      </c>
      <c r="S32" s="1">
        <v>255</v>
      </c>
    </row>
    <row r="33" spans="7:19" x14ac:dyDescent="0.25">
      <c r="G33">
        <v>27</v>
      </c>
      <c r="H33" s="1">
        <v>6.7030000000000003</v>
      </c>
      <c r="N33" s="1">
        <v>8</v>
      </c>
      <c r="O33" s="1">
        <v>241</v>
      </c>
      <c r="P33" s="1">
        <v>562</v>
      </c>
      <c r="Q33" s="1">
        <v>2.3319999999999999</v>
      </c>
      <c r="R33" s="1">
        <v>6.407</v>
      </c>
      <c r="S33" s="1">
        <v>255</v>
      </c>
    </row>
    <row r="34" spans="7:19" x14ac:dyDescent="0.25">
      <c r="G34">
        <v>28</v>
      </c>
      <c r="H34" s="1">
        <v>6.407</v>
      </c>
      <c r="N34" s="1">
        <v>9</v>
      </c>
      <c r="O34" s="1">
        <v>222</v>
      </c>
      <c r="P34" s="1">
        <v>453</v>
      </c>
      <c r="Q34" s="1">
        <v>2.0409999999999999</v>
      </c>
      <c r="R34" s="1">
        <v>5.1639999999999997</v>
      </c>
      <c r="S34" s="1">
        <v>255</v>
      </c>
    </row>
    <row r="35" spans="7:19" x14ac:dyDescent="0.25">
      <c r="G35">
        <v>29</v>
      </c>
      <c r="H35" s="1">
        <v>5.1639999999999997</v>
      </c>
      <c r="N35" s="1">
        <v>10</v>
      </c>
      <c r="O35" s="1">
        <v>223</v>
      </c>
      <c r="P35" s="1">
        <v>518</v>
      </c>
      <c r="Q35" s="1">
        <v>2.323</v>
      </c>
      <c r="R35" s="1">
        <v>5.9050000000000002</v>
      </c>
      <c r="S35" s="1">
        <v>255</v>
      </c>
    </row>
    <row r="36" spans="7:19" x14ac:dyDescent="0.25">
      <c r="G36">
        <v>30</v>
      </c>
      <c r="H36" s="1">
        <v>5.9050000000000002</v>
      </c>
      <c r="N36" s="1">
        <v>11</v>
      </c>
      <c r="O36" s="1">
        <v>225</v>
      </c>
      <c r="P36" s="1">
        <v>588</v>
      </c>
      <c r="Q36" s="1">
        <v>2.613</v>
      </c>
      <c r="R36" s="1">
        <v>6.7030000000000003</v>
      </c>
      <c r="S36" s="1">
        <v>255</v>
      </c>
    </row>
    <row r="37" spans="7:19" x14ac:dyDescent="0.25">
      <c r="G37">
        <v>31</v>
      </c>
      <c r="H37" s="1">
        <v>6.7030000000000003</v>
      </c>
      <c r="N37" s="1">
        <v>12</v>
      </c>
      <c r="O37" s="1">
        <v>261</v>
      </c>
      <c r="P37" s="1">
        <v>525</v>
      </c>
      <c r="Q37" s="1">
        <v>2.0110000000000001</v>
      </c>
      <c r="R37" s="1">
        <v>5.9850000000000003</v>
      </c>
      <c r="S37" s="1">
        <v>255</v>
      </c>
    </row>
    <row r="38" spans="7:19" x14ac:dyDescent="0.25">
      <c r="G38">
        <v>32</v>
      </c>
      <c r="H38" s="1">
        <v>5.9850000000000003</v>
      </c>
      <c r="N38" s="1">
        <v>13</v>
      </c>
      <c r="O38" s="1">
        <v>241</v>
      </c>
      <c r="P38" s="1">
        <v>516</v>
      </c>
      <c r="Q38" s="1">
        <v>2.141</v>
      </c>
      <c r="R38" s="1">
        <v>5.8819999999999997</v>
      </c>
      <c r="S38" s="1">
        <v>255</v>
      </c>
    </row>
    <row r="39" spans="7:19" x14ac:dyDescent="0.25">
      <c r="G39">
        <v>33</v>
      </c>
      <c r="H39" s="1">
        <v>5.8819999999999997</v>
      </c>
      <c r="N39" s="1">
        <v>14</v>
      </c>
      <c r="O39" s="1">
        <v>228</v>
      </c>
      <c r="P39" s="1">
        <v>519</v>
      </c>
      <c r="Q39" s="1">
        <v>2.2759999999999998</v>
      </c>
      <c r="R39" s="1">
        <v>5.9169999999999998</v>
      </c>
      <c r="S39" s="1">
        <v>255</v>
      </c>
    </row>
    <row r="40" spans="7:19" x14ac:dyDescent="0.25">
      <c r="G40">
        <v>34</v>
      </c>
      <c r="H40" s="1">
        <v>5.9169999999999998</v>
      </c>
      <c r="N40" s="1">
        <v>15</v>
      </c>
      <c r="O40" s="1">
        <v>236</v>
      </c>
      <c r="P40" s="1">
        <v>604</v>
      </c>
      <c r="Q40" s="1">
        <v>2.5590000000000002</v>
      </c>
      <c r="R40" s="1">
        <v>6.8860000000000001</v>
      </c>
      <c r="S40" s="1">
        <v>255</v>
      </c>
    </row>
    <row r="41" spans="7:19" x14ac:dyDescent="0.25">
      <c r="G41">
        <v>35</v>
      </c>
      <c r="H41" s="1">
        <v>6.8860000000000001</v>
      </c>
      <c r="N41" s="1">
        <v>16</v>
      </c>
      <c r="O41" s="1">
        <v>278</v>
      </c>
      <c r="P41" s="1">
        <v>584</v>
      </c>
      <c r="Q41" s="1">
        <v>2.101</v>
      </c>
      <c r="R41" s="1">
        <v>6.6580000000000004</v>
      </c>
      <c r="S41" s="1">
        <v>255</v>
      </c>
    </row>
    <row r="42" spans="7:19" x14ac:dyDescent="0.25">
      <c r="G42">
        <v>36</v>
      </c>
      <c r="H42" s="1">
        <v>6.6580000000000004</v>
      </c>
      <c r="N42" s="1">
        <v>17</v>
      </c>
      <c r="O42" s="1">
        <v>253</v>
      </c>
      <c r="P42" s="1">
        <v>541</v>
      </c>
      <c r="Q42" s="1">
        <v>2.1379999999999999</v>
      </c>
      <c r="R42" s="1">
        <v>6.1669999999999998</v>
      </c>
      <c r="S42" s="1">
        <v>255</v>
      </c>
    </row>
    <row r="43" spans="7:19" x14ac:dyDescent="0.25">
      <c r="G43">
        <v>37</v>
      </c>
      <c r="H43" s="1">
        <v>6.1669999999999998</v>
      </c>
      <c r="N43" s="1">
        <v>18</v>
      </c>
      <c r="O43" s="1">
        <v>242</v>
      </c>
      <c r="P43" s="1">
        <v>499</v>
      </c>
      <c r="Q43" s="1">
        <v>2.0619999999999998</v>
      </c>
      <c r="R43" s="1">
        <v>5.6890000000000001</v>
      </c>
      <c r="S43" s="1">
        <v>255</v>
      </c>
    </row>
    <row r="44" spans="7:19" x14ac:dyDescent="0.25">
      <c r="G44">
        <v>38</v>
      </c>
      <c r="H44" s="1">
        <v>5.6890000000000001</v>
      </c>
      <c r="N44" s="1">
        <v>19</v>
      </c>
      <c r="O44" s="1">
        <v>239</v>
      </c>
      <c r="P44" s="1">
        <v>470</v>
      </c>
      <c r="Q44" s="1">
        <v>1.9670000000000001</v>
      </c>
      <c r="R44" s="1">
        <v>5.3579999999999997</v>
      </c>
      <c r="S44" s="1">
        <v>255</v>
      </c>
    </row>
    <row r="45" spans="7:19" x14ac:dyDescent="0.25">
      <c r="G45">
        <v>39</v>
      </c>
      <c r="H45" s="1">
        <v>5.3579999999999997</v>
      </c>
      <c r="N45" s="1">
        <v>20</v>
      </c>
      <c r="O45" s="1">
        <v>251</v>
      </c>
      <c r="P45" s="1">
        <v>517</v>
      </c>
      <c r="Q45" s="1">
        <v>2.06</v>
      </c>
      <c r="R45" s="1">
        <v>5.8940000000000001</v>
      </c>
      <c r="S45" s="1">
        <v>255</v>
      </c>
    </row>
    <row r="46" spans="7:19" x14ac:dyDescent="0.25">
      <c r="G46">
        <v>40</v>
      </c>
      <c r="H46" s="1">
        <v>5.8940000000000001</v>
      </c>
      <c r="N46" s="1">
        <v>1</v>
      </c>
      <c r="O46" s="1">
        <v>239</v>
      </c>
      <c r="P46" s="1">
        <v>545</v>
      </c>
      <c r="Q46" s="1">
        <v>2.2799999999999998</v>
      </c>
      <c r="R46" s="1">
        <v>6.3609999999999998</v>
      </c>
      <c r="S46" s="1">
        <v>255</v>
      </c>
    </row>
    <row r="47" spans="7:19" x14ac:dyDescent="0.25">
      <c r="G47">
        <v>41</v>
      </c>
      <c r="H47" s="1">
        <v>6.3609999999999998</v>
      </c>
      <c r="N47" s="1">
        <v>2</v>
      </c>
      <c r="O47" s="1">
        <v>226</v>
      </c>
      <c r="P47" s="1">
        <v>540</v>
      </c>
      <c r="Q47" s="1">
        <v>2.3889999999999998</v>
      </c>
      <c r="R47" s="1">
        <v>6.3029999999999999</v>
      </c>
      <c r="S47" s="1">
        <v>255</v>
      </c>
    </row>
    <row r="48" spans="7:19" x14ac:dyDescent="0.25">
      <c r="G48">
        <v>42</v>
      </c>
      <c r="H48" s="1">
        <v>6.3029999999999999</v>
      </c>
      <c r="N48" s="1">
        <v>3</v>
      </c>
      <c r="O48" s="1">
        <v>224</v>
      </c>
      <c r="P48" s="1">
        <v>481</v>
      </c>
      <c r="Q48" s="1">
        <v>2.1469999999999998</v>
      </c>
      <c r="R48" s="1">
        <v>5.6139999999999999</v>
      </c>
      <c r="S48" s="1">
        <v>255</v>
      </c>
    </row>
    <row r="49" spans="7:19" x14ac:dyDescent="0.25">
      <c r="G49">
        <v>43</v>
      </c>
      <c r="H49" s="1">
        <v>5.6139999999999999</v>
      </c>
      <c r="N49" s="1">
        <v>4</v>
      </c>
      <c r="O49" s="1">
        <v>244</v>
      </c>
      <c r="P49" s="1">
        <v>535</v>
      </c>
      <c r="Q49" s="1">
        <v>2.1930000000000001</v>
      </c>
      <c r="R49" s="1">
        <v>6.2439999999999998</v>
      </c>
      <c r="S49" s="1">
        <v>255</v>
      </c>
    </row>
    <row r="50" spans="7:19" x14ac:dyDescent="0.25">
      <c r="G50">
        <v>44</v>
      </c>
      <c r="H50" s="1">
        <v>6.2439999999999998</v>
      </c>
      <c r="N50" s="1">
        <v>5</v>
      </c>
      <c r="O50" s="1">
        <v>234</v>
      </c>
      <c r="P50" s="1">
        <v>538</v>
      </c>
      <c r="Q50" s="1">
        <v>2.2989999999999999</v>
      </c>
      <c r="R50" s="1">
        <v>6.2789999999999999</v>
      </c>
      <c r="S50" s="1">
        <v>255</v>
      </c>
    </row>
    <row r="51" spans="7:19" x14ac:dyDescent="0.25">
      <c r="G51">
        <v>45</v>
      </c>
      <c r="H51" s="1">
        <v>6.2789999999999999</v>
      </c>
      <c r="N51" s="1">
        <v>6</v>
      </c>
      <c r="O51" s="1">
        <v>226</v>
      </c>
      <c r="P51" s="1">
        <v>511</v>
      </c>
      <c r="Q51" s="1">
        <v>2.2610000000000001</v>
      </c>
      <c r="R51" s="1">
        <v>5.9640000000000004</v>
      </c>
      <c r="S51" s="1">
        <v>255</v>
      </c>
    </row>
    <row r="52" spans="7:19" x14ac:dyDescent="0.25">
      <c r="G52">
        <v>46</v>
      </c>
      <c r="H52" s="1">
        <v>5.9640000000000004</v>
      </c>
      <c r="N52" s="1">
        <v>7</v>
      </c>
      <c r="O52" s="1">
        <v>253</v>
      </c>
      <c r="P52" s="1">
        <v>528</v>
      </c>
      <c r="Q52" s="1">
        <v>2.0870000000000002</v>
      </c>
      <c r="R52" s="1">
        <v>6.1619999999999999</v>
      </c>
      <c r="S52" s="1">
        <v>255</v>
      </c>
    </row>
    <row r="53" spans="7:19" x14ac:dyDescent="0.25">
      <c r="G53">
        <v>47</v>
      </c>
      <c r="H53" s="1">
        <v>6.1619999999999999</v>
      </c>
      <c r="N53" s="1">
        <v>8</v>
      </c>
      <c r="O53" s="1">
        <v>225</v>
      </c>
      <c r="P53" s="1">
        <v>499</v>
      </c>
      <c r="Q53" s="1">
        <v>2.218</v>
      </c>
      <c r="R53" s="1">
        <v>5.8239999999999998</v>
      </c>
      <c r="S53" s="1">
        <v>255</v>
      </c>
    </row>
    <row r="54" spans="7:19" x14ac:dyDescent="0.25">
      <c r="G54">
        <v>48</v>
      </c>
      <c r="H54" s="1">
        <v>5.8239999999999998</v>
      </c>
      <c r="N54" s="1">
        <v>9</v>
      </c>
      <c r="O54" s="1">
        <v>187</v>
      </c>
      <c r="P54" s="1">
        <v>381</v>
      </c>
      <c r="Q54" s="1">
        <v>2.0369999999999999</v>
      </c>
      <c r="R54" s="1">
        <v>4.4470000000000001</v>
      </c>
      <c r="S54" s="1">
        <v>255</v>
      </c>
    </row>
    <row r="55" spans="7:19" x14ac:dyDescent="0.25">
      <c r="G55">
        <v>49</v>
      </c>
      <c r="H55" s="1">
        <v>4.4470000000000001</v>
      </c>
      <c r="N55" s="1">
        <v>10</v>
      </c>
      <c r="O55" s="1">
        <v>221</v>
      </c>
      <c r="P55" s="1">
        <v>455</v>
      </c>
      <c r="Q55" s="1">
        <v>2.0590000000000002</v>
      </c>
      <c r="R55" s="1">
        <v>5.31</v>
      </c>
      <c r="S55" s="1">
        <v>255</v>
      </c>
    </row>
    <row r="56" spans="7:19" x14ac:dyDescent="0.25">
      <c r="G56">
        <v>50</v>
      </c>
      <c r="H56" s="1">
        <v>5.31</v>
      </c>
      <c r="N56" s="1">
        <v>11</v>
      </c>
      <c r="O56" s="1">
        <v>236</v>
      </c>
      <c r="P56" s="1">
        <v>576</v>
      </c>
      <c r="Q56" s="1">
        <v>2.4409999999999998</v>
      </c>
      <c r="R56" s="1">
        <v>6.7229999999999999</v>
      </c>
      <c r="S56" s="1">
        <v>255</v>
      </c>
    </row>
    <row r="57" spans="7:19" x14ac:dyDescent="0.25">
      <c r="G57">
        <v>51</v>
      </c>
      <c r="H57" s="1">
        <v>6.7229999999999999</v>
      </c>
      <c r="N57" s="1">
        <v>12</v>
      </c>
      <c r="O57" s="1">
        <v>237</v>
      </c>
      <c r="P57" s="1">
        <v>504</v>
      </c>
      <c r="Q57" s="1">
        <v>2.1269999999999998</v>
      </c>
      <c r="R57" s="1">
        <v>5.8819999999999997</v>
      </c>
      <c r="S57" s="1">
        <v>255</v>
      </c>
    </row>
    <row r="58" spans="7:19" x14ac:dyDescent="0.25">
      <c r="G58">
        <v>52</v>
      </c>
      <c r="H58" s="1">
        <v>5.8819999999999997</v>
      </c>
      <c r="N58" s="1">
        <v>13</v>
      </c>
      <c r="O58" s="1">
        <v>216</v>
      </c>
      <c r="P58" s="1">
        <v>455</v>
      </c>
      <c r="Q58" s="1">
        <v>2.1059999999999999</v>
      </c>
      <c r="R58" s="1">
        <v>5.31</v>
      </c>
      <c r="S58" s="1">
        <v>255</v>
      </c>
    </row>
    <row r="59" spans="7:19" x14ac:dyDescent="0.25">
      <c r="G59">
        <v>53</v>
      </c>
      <c r="H59" s="1">
        <v>5.31</v>
      </c>
      <c r="N59" s="1">
        <v>14</v>
      </c>
      <c r="O59" s="1">
        <v>227</v>
      </c>
      <c r="P59" s="1">
        <v>461</v>
      </c>
      <c r="Q59" s="1">
        <v>2.0310000000000001</v>
      </c>
      <c r="R59" s="1">
        <v>5.38</v>
      </c>
      <c r="S59" s="1">
        <v>255</v>
      </c>
    </row>
    <row r="60" spans="7:19" x14ac:dyDescent="0.25">
      <c r="G60">
        <v>54</v>
      </c>
      <c r="H60" s="1">
        <v>5.38</v>
      </c>
      <c r="N60" s="1">
        <v>15</v>
      </c>
      <c r="O60" s="1">
        <v>227</v>
      </c>
      <c r="P60" s="1">
        <v>436</v>
      </c>
      <c r="Q60" s="1">
        <v>1.921</v>
      </c>
      <c r="R60" s="1">
        <v>5.0890000000000004</v>
      </c>
      <c r="S60" s="1">
        <v>255</v>
      </c>
    </row>
    <row r="61" spans="7:19" x14ac:dyDescent="0.25">
      <c r="G61">
        <v>55</v>
      </c>
      <c r="H61" s="1">
        <v>5.0890000000000004</v>
      </c>
      <c r="N61" s="1">
        <v>16</v>
      </c>
      <c r="O61" s="1">
        <v>242</v>
      </c>
      <c r="P61" s="1">
        <v>509</v>
      </c>
      <c r="Q61" s="1">
        <v>2.1030000000000002</v>
      </c>
      <c r="R61" s="1">
        <v>5.9409999999999998</v>
      </c>
      <c r="S61" s="1">
        <v>255</v>
      </c>
    </row>
    <row r="62" spans="7:19" x14ac:dyDescent="0.25">
      <c r="G62">
        <v>56</v>
      </c>
      <c r="H62" s="1">
        <v>5.9409999999999998</v>
      </c>
      <c r="N62" s="1">
        <v>17</v>
      </c>
      <c r="O62" s="1">
        <v>246</v>
      </c>
      <c r="P62" s="1">
        <v>580</v>
      </c>
      <c r="Q62" s="1">
        <v>2.3580000000000001</v>
      </c>
      <c r="R62" s="1">
        <v>6.7690000000000001</v>
      </c>
      <c r="S62" s="1">
        <v>255</v>
      </c>
    </row>
    <row r="63" spans="7:19" x14ac:dyDescent="0.25">
      <c r="G63">
        <v>57</v>
      </c>
      <c r="H63" s="1">
        <v>6.7690000000000001</v>
      </c>
      <c r="N63" s="1">
        <v>18</v>
      </c>
      <c r="O63" s="1">
        <v>245</v>
      </c>
      <c r="P63" s="1">
        <v>482</v>
      </c>
      <c r="Q63" s="1">
        <v>1.9670000000000001</v>
      </c>
      <c r="R63" s="1">
        <v>5.6260000000000003</v>
      </c>
      <c r="S63" s="1">
        <v>255</v>
      </c>
    </row>
    <row r="64" spans="7:19" x14ac:dyDescent="0.25">
      <c r="G64">
        <v>58</v>
      </c>
      <c r="H64" s="1">
        <v>5.6260000000000003</v>
      </c>
      <c r="N64" s="1">
        <v>19</v>
      </c>
      <c r="O64" s="1">
        <v>238</v>
      </c>
      <c r="P64" s="1">
        <v>533</v>
      </c>
      <c r="Q64" s="1">
        <v>2.2389999999999999</v>
      </c>
      <c r="R64" s="1">
        <v>6.2210000000000001</v>
      </c>
      <c r="S64" s="1">
        <v>255</v>
      </c>
    </row>
    <row r="65" spans="7:19" x14ac:dyDescent="0.25">
      <c r="G65">
        <v>59</v>
      </c>
      <c r="H65" s="1">
        <v>6.2210000000000001</v>
      </c>
      <c r="N65" s="1">
        <v>20</v>
      </c>
      <c r="O65" s="1">
        <v>238</v>
      </c>
      <c r="P65" s="1">
        <v>554</v>
      </c>
      <c r="Q65" s="1">
        <v>2.3279999999999998</v>
      </c>
      <c r="R65" s="1">
        <v>6.4660000000000002</v>
      </c>
      <c r="S65" s="1">
        <v>255</v>
      </c>
    </row>
    <row r="66" spans="7:19" x14ac:dyDescent="0.25">
      <c r="G66">
        <v>60</v>
      </c>
      <c r="H66" s="1">
        <v>6.4660000000000002</v>
      </c>
    </row>
  </sheetData>
  <mergeCells count="1">
    <mergeCell ref="B1:C1"/>
  </mergeCells>
  <pageMargins left="0.7" right="0.7" top="0.75" bottom="0.75" header="0.3" footer="0.3"/>
  <pageSetup orientation="portrait" r:id="rId1"/>
  <drawing r:id="rId2"/>
  <tableParts count="2">
    <tablePart r:id="rId3"/>
    <tablePart r:id="rId4"/>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D6E59-F2E4-C54F-92BF-B9205963C04C}">
  <sheetPr codeName="Sheet12">
    <tabColor theme="0" tint="-0.249977111117893"/>
  </sheetPr>
  <dimension ref="B1:S66"/>
  <sheetViews>
    <sheetView zoomScaleNormal="100" workbookViewId="0">
      <selection activeCell="C6" sqref="C6"/>
    </sheetView>
  </sheetViews>
  <sheetFormatPr defaultColWidth="9.140625" defaultRowHeight="15" x14ac:dyDescent="0.25"/>
  <cols>
    <col min="1" max="1" width="3" style="1" customWidth="1"/>
    <col min="2" max="2" width="46" style="1" customWidth="1"/>
    <col min="3" max="3" width="27.140625" style="1" customWidth="1"/>
    <col min="4" max="5" width="3" style="1" customWidth="1"/>
    <col min="6" max="6" width="9.140625" style="1"/>
    <col min="7" max="7" width="36.28515625" style="1" bestFit="1" customWidth="1"/>
    <col min="8" max="8" width="14.85546875" style="1" bestFit="1" customWidth="1"/>
    <col min="9" max="9" width="9.140625" style="1"/>
    <col min="10" max="10" width="23" style="1" customWidth="1"/>
    <col min="11" max="16384" width="9.140625" style="1"/>
  </cols>
  <sheetData>
    <row r="1" spans="2:19" ht="23.25" x14ac:dyDescent="0.25">
      <c r="B1" s="18" t="s">
        <v>28</v>
      </c>
      <c r="C1" s="18"/>
    </row>
    <row r="2" spans="2:19" ht="20.25" thickBot="1" x14ac:dyDescent="0.35">
      <c r="B2" s="8" t="s">
        <v>20</v>
      </c>
    </row>
    <row r="3" spans="2:19" ht="45.75" customHeight="1" thickTop="1" x14ac:dyDescent="0.25">
      <c r="B3" s="5" t="s">
        <v>22</v>
      </c>
    </row>
    <row r="4" spans="2:19" x14ac:dyDescent="0.25">
      <c r="B4" s="5"/>
    </row>
    <row r="5" spans="2:19" x14ac:dyDescent="0.25">
      <c r="B5" t="s">
        <v>16</v>
      </c>
      <c r="C5" s="12" t="s">
        <v>70</v>
      </c>
      <c r="G5" t="s">
        <v>14</v>
      </c>
      <c r="H5" t="s">
        <v>15</v>
      </c>
    </row>
    <row r="6" spans="2:19" x14ac:dyDescent="0.25">
      <c r="B6" t="s">
        <v>17</v>
      </c>
      <c r="C6" s="2" t="s">
        <v>21</v>
      </c>
      <c r="G6" t="s">
        <v>11</v>
      </c>
      <c r="H6" t="s">
        <v>13</v>
      </c>
      <c r="J6" t="s">
        <v>58</v>
      </c>
      <c r="K6">
        <f>MAX(G7:G26)</f>
        <v>20</v>
      </c>
      <c r="N6" s="1">
        <v>1</v>
      </c>
      <c r="O6" s="1">
        <v>137</v>
      </c>
      <c r="P6" s="1">
        <v>2665</v>
      </c>
      <c r="Q6" s="1">
        <v>19.452999999999999</v>
      </c>
      <c r="R6" s="1">
        <v>7.5510000000000002</v>
      </c>
      <c r="S6" s="1">
        <v>255</v>
      </c>
    </row>
    <row r="7" spans="2:19" x14ac:dyDescent="0.25">
      <c r="B7" t="s">
        <v>18</v>
      </c>
      <c r="C7" s="6">
        <f ca="1">TODAY()</f>
        <v>45321</v>
      </c>
      <c r="G7">
        <v>1</v>
      </c>
      <c r="H7" s="1">
        <v>7.5510000000000002</v>
      </c>
      <c r="J7" t="s">
        <v>59</v>
      </c>
      <c r="K7">
        <f>VLOOKUP(K6,confidence_95_multiplier1220222426[#All],2,FALSE)</f>
        <v>2.093</v>
      </c>
      <c r="N7" s="1">
        <v>2</v>
      </c>
      <c r="O7" s="1">
        <v>125</v>
      </c>
      <c r="P7" s="1">
        <v>2412</v>
      </c>
      <c r="Q7" s="1">
        <v>19.295999999999999</v>
      </c>
      <c r="R7" s="1">
        <v>6.8339999999999996</v>
      </c>
      <c r="S7" s="1">
        <v>255</v>
      </c>
    </row>
    <row r="8" spans="2:19" x14ac:dyDescent="0.25">
      <c r="G8">
        <v>2</v>
      </c>
      <c r="H8" s="1">
        <v>6.8339999999999996</v>
      </c>
      <c r="J8" t="s">
        <v>60</v>
      </c>
      <c r="K8">
        <f>AVERAGE(porosity_readings1119212325[x_i])</f>
        <v>5.9709999999999992</v>
      </c>
      <c r="N8" s="1">
        <v>3</v>
      </c>
      <c r="O8" s="1">
        <v>128</v>
      </c>
      <c r="P8" s="1">
        <v>1899</v>
      </c>
      <c r="Q8" s="1">
        <v>14.836</v>
      </c>
      <c r="R8" s="1">
        <v>5.3810000000000002</v>
      </c>
      <c r="S8" s="1">
        <v>255</v>
      </c>
    </row>
    <row r="9" spans="2:19" x14ac:dyDescent="0.25">
      <c r="B9" t="s">
        <v>55</v>
      </c>
      <c r="C9" s="3">
        <v>1000</v>
      </c>
      <c r="G9">
        <v>3</v>
      </c>
      <c r="H9" s="1">
        <v>5.3810000000000002</v>
      </c>
      <c r="J9" t="s">
        <v>61</v>
      </c>
      <c r="K9">
        <f>_xlfn.STDEV.S(porosity_readings1119212325[x_i])</f>
        <v>1.0339463490102341</v>
      </c>
      <c r="N9" s="1">
        <v>4</v>
      </c>
      <c r="O9" s="1">
        <v>133</v>
      </c>
      <c r="P9" s="1">
        <v>2138</v>
      </c>
      <c r="Q9" s="1">
        <v>16.074999999999999</v>
      </c>
      <c r="R9" s="1">
        <v>6.0579999999999998</v>
      </c>
      <c r="S9" s="1">
        <v>255</v>
      </c>
    </row>
    <row r="10" spans="2:19" x14ac:dyDescent="0.25">
      <c r="B10" t="s">
        <v>26</v>
      </c>
      <c r="C10" s="11">
        <f>HVOF_APS_Al2O3_1000X!K8</f>
        <v>5.9709999999999992</v>
      </c>
      <c r="G10">
        <v>4</v>
      </c>
      <c r="H10" s="1">
        <v>6.0579999999999998</v>
      </c>
      <c r="J10" t="s">
        <v>62</v>
      </c>
      <c r="K10" s="7">
        <f>K9*K7/(SQRT(K6))</f>
        <v>0.48389622548463496</v>
      </c>
      <c r="N10" s="1">
        <v>5</v>
      </c>
      <c r="O10" s="1">
        <v>125</v>
      </c>
      <c r="P10" s="1">
        <v>2339</v>
      </c>
      <c r="Q10" s="1">
        <v>18.712</v>
      </c>
      <c r="R10" s="1">
        <v>6.6280000000000001</v>
      </c>
      <c r="S10" s="1">
        <v>255</v>
      </c>
    </row>
    <row r="11" spans="2:19" x14ac:dyDescent="0.25">
      <c r="B11" t="s">
        <v>25</v>
      </c>
      <c r="C11" s="9">
        <f>HVOF_APS_Al2O3_1000X!K12</f>
        <v>3.3889999999999998</v>
      </c>
      <c r="G11">
        <v>5</v>
      </c>
      <c r="H11" s="1">
        <v>6.6280000000000001</v>
      </c>
      <c r="J11" t="s">
        <v>63</v>
      </c>
      <c r="K11" s="7">
        <f>K10/K8</f>
        <v>8.1041069416284542E-2</v>
      </c>
      <c r="N11" s="1">
        <v>6</v>
      </c>
      <c r="O11" s="1">
        <v>122</v>
      </c>
      <c r="P11" s="1">
        <v>1836</v>
      </c>
      <c r="Q11" s="1">
        <v>15.048999999999999</v>
      </c>
      <c r="R11" s="1">
        <v>5.202</v>
      </c>
      <c r="S11" s="1">
        <v>255</v>
      </c>
    </row>
    <row r="12" spans="2:19" x14ac:dyDescent="0.25">
      <c r="B12" t="s">
        <v>24</v>
      </c>
      <c r="C12" s="9">
        <f>HVOF_APS_Al2O3_1000X!K13</f>
        <v>7.5510000000000002</v>
      </c>
      <c r="G12">
        <v>6</v>
      </c>
      <c r="H12" s="1">
        <v>5.202</v>
      </c>
      <c r="J12" t="s">
        <v>64</v>
      </c>
      <c r="K12">
        <f>MIN(porosity_readings1119212325[x_i])</f>
        <v>3.3889999999999998</v>
      </c>
      <c r="N12" s="1">
        <v>7</v>
      </c>
      <c r="O12" s="1">
        <v>133</v>
      </c>
      <c r="P12" s="1">
        <v>2339</v>
      </c>
      <c r="Q12" s="1">
        <v>17.585999999999999</v>
      </c>
      <c r="R12" s="1">
        <v>6.6280000000000001</v>
      </c>
      <c r="S12" s="1">
        <v>255</v>
      </c>
    </row>
    <row r="13" spans="2:19" x14ac:dyDescent="0.25">
      <c r="B13" t="s">
        <v>12</v>
      </c>
      <c r="C13" s="11">
        <f>HVOF_APS_Al2O3_1000X!K9</f>
        <v>1.0339463490102341</v>
      </c>
      <c r="G13">
        <v>7</v>
      </c>
      <c r="H13" s="1">
        <v>6.6280000000000001</v>
      </c>
      <c r="J13" t="s">
        <v>65</v>
      </c>
      <c r="K13">
        <f>MAX(porosity_readings1119212325[x_i])</f>
        <v>7.5510000000000002</v>
      </c>
      <c r="N13" s="1">
        <v>8</v>
      </c>
      <c r="O13" s="1">
        <v>126</v>
      </c>
      <c r="P13" s="1">
        <v>1590</v>
      </c>
      <c r="Q13" s="1">
        <v>12.619</v>
      </c>
      <c r="R13" s="1">
        <v>4.5049999999999999</v>
      </c>
      <c r="S13" s="1">
        <v>255</v>
      </c>
    </row>
    <row r="14" spans="2:19" x14ac:dyDescent="0.25">
      <c r="B14" t="s">
        <v>19</v>
      </c>
      <c r="C14" s="10">
        <f>HVOF_APS_Al2O3_1000X!K10</f>
        <v>0.48389622548463496</v>
      </c>
      <c r="G14">
        <v>8</v>
      </c>
      <c r="H14" s="1">
        <v>4.5049999999999999</v>
      </c>
      <c r="N14" s="1">
        <v>9</v>
      </c>
      <c r="O14" s="1">
        <v>114</v>
      </c>
      <c r="P14" s="1">
        <v>2316</v>
      </c>
      <c r="Q14" s="1">
        <v>20.315999999999999</v>
      </c>
      <c r="R14" s="1">
        <v>6.5620000000000003</v>
      </c>
      <c r="S14" s="1">
        <v>255</v>
      </c>
    </row>
    <row r="15" spans="2:19" x14ac:dyDescent="0.25">
      <c r="B15" t="s">
        <v>27</v>
      </c>
      <c r="C15" s="14">
        <f>HVOF_APS_Al2O3_1000X!K11</f>
        <v>8.1041069416284542E-2</v>
      </c>
      <c r="G15">
        <v>9</v>
      </c>
      <c r="H15" s="1">
        <v>6.5620000000000003</v>
      </c>
      <c r="J15" t="s">
        <v>5</v>
      </c>
      <c r="K15"/>
      <c r="N15" s="1">
        <v>10</v>
      </c>
      <c r="O15" s="1">
        <v>140</v>
      </c>
      <c r="P15" s="1">
        <v>2658</v>
      </c>
      <c r="Q15" s="1">
        <v>18.986000000000001</v>
      </c>
      <c r="R15" s="1">
        <v>7.5309999999999997</v>
      </c>
      <c r="S15" s="1">
        <v>255</v>
      </c>
    </row>
    <row r="16" spans="2:19" x14ac:dyDescent="0.25">
      <c r="B16" t="s">
        <v>23</v>
      </c>
      <c r="C16" s="2">
        <f>HVOF_APS_Al2O3_1000X!K6</f>
        <v>20</v>
      </c>
      <c r="G16">
        <v>10</v>
      </c>
      <c r="H16" s="1">
        <v>7.5309999999999997</v>
      </c>
      <c r="J16" t="s">
        <v>3</v>
      </c>
      <c r="K16" t="s">
        <v>4</v>
      </c>
      <c r="N16" s="1">
        <v>11</v>
      </c>
      <c r="O16" s="1">
        <v>166</v>
      </c>
      <c r="P16" s="1">
        <v>2252</v>
      </c>
      <c r="Q16" s="1">
        <v>13.566000000000001</v>
      </c>
      <c r="R16" s="1">
        <v>6.3810000000000002</v>
      </c>
      <c r="S16" s="1">
        <v>255</v>
      </c>
    </row>
    <row r="17" spans="2:19" x14ac:dyDescent="0.25">
      <c r="G17">
        <v>11</v>
      </c>
      <c r="H17" s="1">
        <v>6.3810000000000002</v>
      </c>
      <c r="J17">
        <v>20</v>
      </c>
      <c r="K17">
        <v>2.093</v>
      </c>
      <c r="N17" s="1">
        <v>12</v>
      </c>
      <c r="O17" s="1">
        <v>134</v>
      </c>
      <c r="P17" s="1">
        <v>2013</v>
      </c>
      <c r="Q17" s="1">
        <v>15.022</v>
      </c>
      <c r="R17" s="1">
        <v>5.7039999999999997</v>
      </c>
      <c r="S17" s="1">
        <v>255</v>
      </c>
    </row>
    <row r="18" spans="2:19" x14ac:dyDescent="0.25">
      <c r="B18" s="1" t="s">
        <v>66</v>
      </c>
      <c r="C18" s="3">
        <v>0</v>
      </c>
      <c r="G18">
        <v>12</v>
      </c>
      <c r="H18" s="1">
        <v>5.7039999999999997</v>
      </c>
      <c r="J18">
        <v>21</v>
      </c>
      <c r="K18">
        <v>2.0859999999999999</v>
      </c>
      <c r="N18" s="1">
        <v>13</v>
      </c>
      <c r="O18" s="1">
        <v>130</v>
      </c>
      <c r="P18" s="1">
        <v>2080</v>
      </c>
      <c r="Q18" s="1">
        <v>16</v>
      </c>
      <c r="R18" s="1">
        <v>5.8940000000000001</v>
      </c>
      <c r="S18" s="1">
        <v>255</v>
      </c>
    </row>
    <row r="19" spans="2:19" x14ac:dyDescent="0.25">
      <c r="B19" s="1" t="s">
        <v>53</v>
      </c>
      <c r="C19" s="2">
        <v>0</v>
      </c>
      <c r="G19">
        <v>13</v>
      </c>
      <c r="H19" s="1">
        <v>5.8940000000000001</v>
      </c>
      <c r="J19">
        <v>22</v>
      </c>
      <c r="K19">
        <v>2.08</v>
      </c>
      <c r="N19" s="1">
        <v>14</v>
      </c>
      <c r="O19" s="1">
        <v>133</v>
      </c>
      <c r="P19" s="1">
        <v>1793</v>
      </c>
      <c r="Q19" s="1">
        <v>13.481</v>
      </c>
      <c r="R19" s="1">
        <v>5.08</v>
      </c>
      <c r="S19" s="1">
        <v>255</v>
      </c>
    </row>
    <row r="20" spans="2:19" x14ac:dyDescent="0.25">
      <c r="B20" s="1" t="s">
        <v>54</v>
      </c>
      <c r="C20" s="2">
        <v>148</v>
      </c>
      <c r="G20">
        <v>14</v>
      </c>
      <c r="H20" s="1">
        <v>5.08</v>
      </c>
      <c r="J20">
        <v>23</v>
      </c>
      <c r="K20">
        <v>2.0739999999999998</v>
      </c>
      <c r="N20" s="1">
        <v>15</v>
      </c>
      <c r="O20" s="1">
        <v>129</v>
      </c>
      <c r="P20" s="1">
        <v>1706</v>
      </c>
      <c r="Q20" s="1">
        <v>13.225</v>
      </c>
      <c r="R20" s="1">
        <v>4.8339999999999996</v>
      </c>
      <c r="S20" s="1">
        <v>255</v>
      </c>
    </row>
    <row r="21" spans="2:19" x14ac:dyDescent="0.25">
      <c r="G21">
        <v>15</v>
      </c>
      <c r="H21" s="1">
        <v>4.8339999999999996</v>
      </c>
      <c r="J21">
        <v>24</v>
      </c>
      <c r="K21">
        <v>2.069</v>
      </c>
      <c r="N21" s="1">
        <v>16</v>
      </c>
      <c r="O21" s="1">
        <v>109</v>
      </c>
      <c r="P21" s="1">
        <v>1196</v>
      </c>
      <c r="Q21" s="1">
        <v>10.972</v>
      </c>
      <c r="R21" s="1">
        <v>3.3889999999999998</v>
      </c>
      <c r="S21" s="1">
        <v>255</v>
      </c>
    </row>
    <row r="22" spans="2:19" x14ac:dyDescent="0.25">
      <c r="G22">
        <v>16</v>
      </c>
      <c r="H22" s="1">
        <v>3.3889999999999998</v>
      </c>
      <c r="J22">
        <v>25</v>
      </c>
      <c r="K22">
        <v>2.0640000000000001</v>
      </c>
      <c r="N22" s="1">
        <v>17</v>
      </c>
      <c r="O22" s="1">
        <v>145</v>
      </c>
      <c r="P22" s="1">
        <v>2044</v>
      </c>
      <c r="Q22" s="1">
        <v>14.097</v>
      </c>
      <c r="R22" s="1">
        <v>5.7919999999999998</v>
      </c>
      <c r="S22" s="1">
        <v>255</v>
      </c>
    </row>
    <row r="23" spans="2:19" x14ac:dyDescent="0.25">
      <c r="C23" s="4"/>
      <c r="G23">
        <v>17</v>
      </c>
      <c r="H23" s="1">
        <v>5.7919999999999998</v>
      </c>
      <c r="J23">
        <v>26</v>
      </c>
      <c r="K23">
        <v>2.06</v>
      </c>
      <c r="N23" s="1">
        <v>18</v>
      </c>
      <c r="O23" s="1">
        <v>115</v>
      </c>
      <c r="P23" s="1">
        <v>2211</v>
      </c>
      <c r="Q23" s="1">
        <v>19.225999999999999</v>
      </c>
      <c r="R23" s="1">
        <v>6.2649999999999997</v>
      </c>
      <c r="S23" s="1">
        <v>255</v>
      </c>
    </row>
    <row r="24" spans="2:19" x14ac:dyDescent="0.25">
      <c r="G24">
        <v>18</v>
      </c>
      <c r="H24" s="1">
        <v>6.2649999999999997</v>
      </c>
      <c r="J24">
        <v>27</v>
      </c>
      <c r="K24">
        <v>2.056</v>
      </c>
      <c r="N24" s="1">
        <v>19</v>
      </c>
      <c r="O24" s="1">
        <v>163</v>
      </c>
      <c r="P24" s="1">
        <v>2491</v>
      </c>
      <c r="Q24" s="1">
        <v>15.282</v>
      </c>
      <c r="R24" s="1">
        <v>7.0579999999999998</v>
      </c>
      <c r="S24" s="1">
        <v>255</v>
      </c>
    </row>
    <row r="25" spans="2:19" x14ac:dyDescent="0.25">
      <c r="G25">
        <v>19</v>
      </c>
      <c r="H25" s="1">
        <v>7.0579999999999998</v>
      </c>
      <c r="J25">
        <v>28</v>
      </c>
      <c r="K25">
        <v>2.052</v>
      </c>
      <c r="N25" s="1">
        <v>20</v>
      </c>
      <c r="O25" s="1">
        <v>155</v>
      </c>
      <c r="P25" s="1">
        <v>2168</v>
      </c>
      <c r="Q25" s="1">
        <v>13.987</v>
      </c>
      <c r="R25" s="1">
        <v>6.1429999999999998</v>
      </c>
      <c r="S25" s="1">
        <v>255</v>
      </c>
    </row>
    <row r="26" spans="2:19" x14ac:dyDescent="0.25">
      <c r="G26">
        <v>20</v>
      </c>
      <c r="H26" s="1">
        <v>6.1429999999999998</v>
      </c>
      <c r="J26">
        <v>29</v>
      </c>
      <c r="K26">
        <v>2.048</v>
      </c>
    </row>
    <row r="27" spans="2:19" x14ac:dyDescent="0.25">
      <c r="G27"/>
      <c r="J27">
        <v>30</v>
      </c>
      <c r="K27">
        <v>2.0449999999999999</v>
      </c>
    </row>
    <row r="28" spans="2:19" x14ac:dyDescent="0.25">
      <c r="G28"/>
      <c r="J28">
        <v>40</v>
      </c>
      <c r="K28">
        <v>2.02</v>
      </c>
    </row>
    <row r="29" spans="2:19" x14ac:dyDescent="0.25">
      <c r="G29"/>
      <c r="J29">
        <v>60</v>
      </c>
      <c r="K29">
        <v>2</v>
      </c>
    </row>
    <row r="30" spans="2:19" x14ac:dyDescent="0.25">
      <c r="G30"/>
    </row>
    <row r="31" spans="2:19" x14ac:dyDescent="0.25">
      <c r="G31"/>
    </row>
    <row r="32" spans="2:19" x14ac:dyDescent="0.25">
      <c r="G32"/>
    </row>
    <row r="33" spans="7:7" x14ac:dyDescent="0.25">
      <c r="G33"/>
    </row>
    <row r="34" spans="7:7" x14ac:dyDescent="0.25">
      <c r="G34"/>
    </row>
    <row r="35" spans="7:7" x14ac:dyDescent="0.25">
      <c r="G35"/>
    </row>
    <row r="36" spans="7:7" x14ac:dyDescent="0.25">
      <c r="G36"/>
    </row>
    <row r="37" spans="7:7" x14ac:dyDescent="0.25">
      <c r="G37"/>
    </row>
    <row r="38" spans="7:7" x14ac:dyDescent="0.25">
      <c r="G38"/>
    </row>
    <row r="39" spans="7:7" x14ac:dyDescent="0.25">
      <c r="G39"/>
    </row>
    <row r="40" spans="7:7" x14ac:dyDescent="0.25">
      <c r="G40"/>
    </row>
    <row r="41" spans="7:7" x14ac:dyDescent="0.25">
      <c r="G41"/>
    </row>
    <row r="42" spans="7:7" x14ac:dyDescent="0.25">
      <c r="G42"/>
    </row>
    <row r="43" spans="7:7" x14ac:dyDescent="0.25">
      <c r="G43"/>
    </row>
    <row r="44" spans="7:7" x14ac:dyDescent="0.25">
      <c r="G44"/>
    </row>
    <row r="45" spans="7:7" x14ac:dyDescent="0.25">
      <c r="G45"/>
    </row>
    <row r="46" spans="7:7" x14ac:dyDescent="0.25">
      <c r="G46"/>
    </row>
    <row r="47" spans="7:7" x14ac:dyDescent="0.25">
      <c r="G47"/>
    </row>
    <row r="48" spans="7:7" x14ac:dyDescent="0.25">
      <c r="G48"/>
    </row>
    <row r="49" spans="7:7" x14ac:dyDescent="0.25">
      <c r="G49"/>
    </row>
    <row r="50" spans="7:7" x14ac:dyDescent="0.25">
      <c r="G50"/>
    </row>
    <row r="51" spans="7:7" x14ac:dyDescent="0.25">
      <c r="G51"/>
    </row>
    <row r="52" spans="7:7" x14ac:dyDescent="0.25">
      <c r="G52"/>
    </row>
    <row r="53" spans="7:7" x14ac:dyDescent="0.25">
      <c r="G53"/>
    </row>
    <row r="54" spans="7:7" x14ac:dyDescent="0.25">
      <c r="G54"/>
    </row>
    <row r="55" spans="7:7" x14ac:dyDescent="0.25">
      <c r="G55"/>
    </row>
    <row r="56" spans="7:7" x14ac:dyDescent="0.25">
      <c r="G56"/>
    </row>
    <row r="57" spans="7:7" x14ac:dyDescent="0.25">
      <c r="G57"/>
    </row>
    <row r="58" spans="7:7" x14ac:dyDescent="0.25">
      <c r="G58"/>
    </row>
    <row r="59" spans="7:7" x14ac:dyDescent="0.25">
      <c r="G59"/>
    </row>
    <row r="60" spans="7:7" x14ac:dyDescent="0.25">
      <c r="G60"/>
    </row>
    <row r="61" spans="7:7" x14ac:dyDescent="0.25">
      <c r="G61"/>
    </row>
    <row r="62" spans="7:7" x14ac:dyDescent="0.25">
      <c r="G62"/>
    </row>
    <row r="63" spans="7:7" x14ac:dyDescent="0.25">
      <c r="G63"/>
    </row>
    <row r="64" spans="7:7" x14ac:dyDescent="0.25">
      <c r="G64"/>
    </row>
    <row r="65" spans="7:7" x14ac:dyDescent="0.25">
      <c r="G65"/>
    </row>
    <row r="66" spans="7:7" x14ac:dyDescent="0.25">
      <c r="G66"/>
    </row>
  </sheetData>
  <mergeCells count="1">
    <mergeCell ref="B1:C1"/>
  </mergeCells>
  <pageMargins left="0.7" right="0.7" top="0.75" bottom="0.75" header="0.3" footer="0.3"/>
  <pageSetup orientation="portrait" r:id="rId1"/>
  <drawing r:id="rId2"/>
  <tableParts count="2">
    <tablePart r:id="rId3"/>
    <tablePart r:id="rId4"/>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AB576-AA39-004E-9F1A-F96719DEC466}">
  <sheetPr codeName="Sheet13">
    <tabColor theme="0" tint="-0.249977111117893"/>
  </sheetPr>
  <dimension ref="B1:S66"/>
  <sheetViews>
    <sheetView zoomScaleNormal="100" workbookViewId="0">
      <selection activeCell="E23" sqref="E23"/>
    </sheetView>
  </sheetViews>
  <sheetFormatPr defaultColWidth="9.140625" defaultRowHeight="15" x14ac:dyDescent="0.25"/>
  <cols>
    <col min="1" max="1" width="3" style="1" customWidth="1"/>
    <col min="2" max="2" width="46" style="1" customWidth="1"/>
    <col min="3" max="3" width="27.140625" style="1" customWidth="1"/>
    <col min="4" max="5" width="3" style="1" customWidth="1"/>
    <col min="6" max="6" width="9.140625" style="1"/>
    <col min="7" max="7" width="36.28515625" style="1" bestFit="1" customWidth="1"/>
    <col min="8" max="8" width="14.85546875" style="1" bestFit="1" customWidth="1"/>
    <col min="9" max="9" width="9.140625" style="1"/>
    <col min="10" max="10" width="23" style="1" customWidth="1"/>
    <col min="11" max="16384" width="9.140625" style="1"/>
  </cols>
  <sheetData>
    <row r="1" spans="2:19" ht="23.25" x14ac:dyDescent="0.25">
      <c r="B1" s="18" t="s">
        <v>28</v>
      </c>
      <c r="C1" s="18"/>
    </row>
    <row r="2" spans="2:19" ht="20.25" thickBot="1" x14ac:dyDescent="0.35">
      <c r="B2" s="8" t="s">
        <v>20</v>
      </c>
    </row>
    <row r="3" spans="2:19" ht="45.75" customHeight="1" thickTop="1" x14ac:dyDescent="0.25">
      <c r="B3" s="5" t="s">
        <v>22</v>
      </c>
    </row>
    <row r="4" spans="2:19" x14ac:dyDescent="0.25">
      <c r="B4" s="5"/>
    </row>
    <row r="5" spans="2:19" x14ac:dyDescent="0.25">
      <c r="B5" t="s">
        <v>16</v>
      </c>
      <c r="C5" s="12" t="s">
        <v>72</v>
      </c>
      <c r="G5" t="s">
        <v>14</v>
      </c>
      <c r="H5" t="s">
        <v>15</v>
      </c>
    </row>
    <row r="6" spans="2:19" x14ac:dyDescent="0.25">
      <c r="B6" t="s">
        <v>17</v>
      </c>
      <c r="C6" s="2" t="s">
        <v>21</v>
      </c>
      <c r="G6" t="s">
        <v>11</v>
      </c>
      <c r="H6" t="s">
        <v>13</v>
      </c>
      <c r="J6" t="s">
        <v>58</v>
      </c>
      <c r="K6">
        <f>MAX(G7:G66)</f>
        <v>60</v>
      </c>
      <c r="N6" s="1">
        <v>1</v>
      </c>
      <c r="O6" s="1">
        <v>144</v>
      </c>
      <c r="P6" s="1">
        <v>299</v>
      </c>
      <c r="Q6" s="1">
        <v>2.0760000000000001</v>
      </c>
      <c r="R6" s="1">
        <v>5.5830000000000002</v>
      </c>
      <c r="S6" s="1">
        <v>255</v>
      </c>
    </row>
    <row r="7" spans="2:19" x14ac:dyDescent="0.25">
      <c r="B7" t="s">
        <v>18</v>
      </c>
      <c r="C7" s="6">
        <f ca="1">TODAY()</f>
        <v>45321</v>
      </c>
      <c r="G7">
        <v>1</v>
      </c>
      <c r="H7" s="1">
        <v>5.5830000000000002</v>
      </c>
      <c r="J7" t="s">
        <v>59</v>
      </c>
      <c r="K7">
        <f>VLOOKUP(K6,confidence_95_multiplier1220222428[#All],2,FALSE)</f>
        <v>2</v>
      </c>
      <c r="N7" s="1">
        <v>2</v>
      </c>
      <c r="O7" s="1">
        <v>146</v>
      </c>
      <c r="P7" s="1">
        <v>295</v>
      </c>
      <c r="Q7" s="1">
        <v>2.0209999999999999</v>
      </c>
      <c r="R7" s="1">
        <v>5.508</v>
      </c>
      <c r="S7" s="1">
        <v>255</v>
      </c>
    </row>
    <row r="8" spans="2:19" x14ac:dyDescent="0.25">
      <c r="G8">
        <v>2</v>
      </c>
      <c r="H8" s="1">
        <v>5.508</v>
      </c>
      <c r="J8" t="s">
        <v>60</v>
      </c>
      <c r="K8">
        <f>AVERAGE(porosity_readings1119212327[x_i])</f>
        <v>5.9043333333333328</v>
      </c>
      <c r="N8" s="1">
        <v>3</v>
      </c>
      <c r="O8" s="1">
        <v>134</v>
      </c>
      <c r="P8" s="1">
        <v>305</v>
      </c>
      <c r="Q8" s="1">
        <v>2.2759999999999998</v>
      </c>
      <c r="R8" s="1">
        <v>5.6950000000000003</v>
      </c>
      <c r="S8" s="1">
        <v>255</v>
      </c>
    </row>
    <row r="9" spans="2:19" x14ac:dyDescent="0.25">
      <c r="B9" t="s">
        <v>55</v>
      </c>
      <c r="C9" s="3">
        <v>1000</v>
      </c>
      <c r="G9">
        <v>3</v>
      </c>
      <c r="H9" s="1">
        <v>5.6950000000000003</v>
      </c>
      <c r="J9" t="s">
        <v>61</v>
      </c>
      <c r="K9">
        <f>_xlfn.STDEV.S(porosity_readings1119212327[x_i])</f>
        <v>0.95106047262982907</v>
      </c>
      <c r="N9" s="1">
        <v>4</v>
      </c>
      <c r="O9" s="1">
        <v>141</v>
      </c>
      <c r="P9" s="1">
        <v>302</v>
      </c>
      <c r="Q9" s="1">
        <v>2.1419999999999999</v>
      </c>
      <c r="R9" s="1">
        <v>5.6390000000000002</v>
      </c>
      <c r="S9" s="1">
        <v>255</v>
      </c>
    </row>
    <row r="10" spans="2:19" x14ac:dyDescent="0.25">
      <c r="B10" t="s">
        <v>26</v>
      </c>
      <c r="C10" s="11">
        <f>HIP_HVOF_APS_Al2O3_0250X!K8</f>
        <v>5.9043333333333328</v>
      </c>
      <c r="G10">
        <v>4</v>
      </c>
      <c r="H10" s="1">
        <v>5.6390000000000002</v>
      </c>
      <c r="J10" t="s">
        <v>62</v>
      </c>
      <c r="K10" s="7">
        <f>K9*K7/(SQRT(K6))</f>
        <v>0.24556275811543218</v>
      </c>
      <c r="N10" s="1">
        <v>5</v>
      </c>
      <c r="O10" s="1">
        <v>145</v>
      </c>
      <c r="P10" s="1">
        <v>293</v>
      </c>
      <c r="Q10" s="1">
        <v>2.0209999999999999</v>
      </c>
      <c r="R10" s="1">
        <v>5.4710000000000001</v>
      </c>
      <c r="S10" s="1">
        <v>255</v>
      </c>
    </row>
    <row r="11" spans="2:19" x14ac:dyDescent="0.25">
      <c r="B11" t="s">
        <v>25</v>
      </c>
      <c r="C11" s="9">
        <f>HIP_HVOF_APS_Al2O3_0250X!K12</f>
        <v>3.5350000000000001</v>
      </c>
      <c r="G11">
        <v>5</v>
      </c>
      <c r="H11" s="1">
        <v>5.4710000000000001</v>
      </c>
      <c r="J11" t="s">
        <v>63</v>
      </c>
      <c r="K11" s="7">
        <f>K10/K8</f>
        <v>4.159025994164154E-2</v>
      </c>
      <c r="N11" s="1">
        <v>6</v>
      </c>
      <c r="O11" s="1">
        <v>145</v>
      </c>
      <c r="P11" s="1">
        <v>241</v>
      </c>
      <c r="Q11" s="1">
        <v>1.6619999999999999</v>
      </c>
      <c r="R11" s="1">
        <v>4.5</v>
      </c>
      <c r="S11" s="1">
        <v>255</v>
      </c>
    </row>
    <row r="12" spans="2:19" x14ac:dyDescent="0.25">
      <c r="B12" t="s">
        <v>24</v>
      </c>
      <c r="C12" s="9">
        <f>HIP_HVOF_APS_Al2O3_0250X!K13</f>
        <v>8.0280000000000005</v>
      </c>
      <c r="G12">
        <v>6</v>
      </c>
      <c r="H12" s="1">
        <v>4.5</v>
      </c>
      <c r="J12" t="s">
        <v>64</v>
      </c>
      <c r="K12">
        <f>MIN(porosity_readings1119212327[x_i])</f>
        <v>3.5350000000000001</v>
      </c>
      <c r="N12" s="1">
        <v>7</v>
      </c>
      <c r="O12" s="1">
        <v>143</v>
      </c>
      <c r="P12" s="1">
        <v>274</v>
      </c>
      <c r="Q12" s="1">
        <v>1.9159999999999999</v>
      </c>
      <c r="R12" s="1">
        <v>5.1159999999999997</v>
      </c>
      <c r="S12" s="1">
        <v>255</v>
      </c>
    </row>
    <row r="13" spans="2:19" x14ac:dyDescent="0.25">
      <c r="B13" t="s">
        <v>12</v>
      </c>
      <c r="C13" s="11">
        <f>HIP_HVOF_APS_Al2O3_0250X!K9</f>
        <v>0.95106047262982907</v>
      </c>
      <c r="G13">
        <v>7</v>
      </c>
      <c r="H13" s="1">
        <v>5.1159999999999997</v>
      </c>
      <c r="J13" t="s">
        <v>65</v>
      </c>
      <c r="K13">
        <f>MAX(porosity_readings1119212327[x_i])</f>
        <v>8.0280000000000005</v>
      </c>
      <c r="N13" s="1">
        <v>8</v>
      </c>
      <c r="O13" s="1">
        <v>127</v>
      </c>
      <c r="P13" s="1">
        <v>321</v>
      </c>
      <c r="Q13" s="1">
        <v>2.528</v>
      </c>
      <c r="R13" s="1">
        <v>5.9930000000000003</v>
      </c>
      <c r="S13" s="1">
        <v>255</v>
      </c>
    </row>
    <row r="14" spans="2:19" x14ac:dyDescent="0.25">
      <c r="B14" t="s">
        <v>19</v>
      </c>
      <c r="C14" s="10">
        <f>HIP_HVOF_APS_Al2O3_0250X!K10</f>
        <v>0.24556275811543218</v>
      </c>
      <c r="G14">
        <v>8</v>
      </c>
      <c r="H14" s="1">
        <v>5.9930000000000003</v>
      </c>
      <c r="N14" s="1">
        <v>9</v>
      </c>
      <c r="O14" s="1">
        <v>144</v>
      </c>
      <c r="P14" s="1">
        <v>357</v>
      </c>
      <c r="Q14" s="1">
        <v>2.4790000000000001</v>
      </c>
      <c r="R14" s="1">
        <v>6.665</v>
      </c>
      <c r="S14" s="1">
        <v>255</v>
      </c>
    </row>
    <row r="15" spans="2:19" x14ac:dyDescent="0.25">
      <c r="B15" t="s">
        <v>27</v>
      </c>
      <c r="C15" s="14">
        <f>HIP_HVOF_APS_Al2O3_0250X!K11</f>
        <v>4.159025994164154E-2</v>
      </c>
      <c r="G15">
        <v>9</v>
      </c>
      <c r="H15" s="1">
        <v>6.665</v>
      </c>
      <c r="J15" t="s">
        <v>5</v>
      </c>
      <c r="K15"/>
      <c r="N15" s="1">
        <v>10</v>
      </c>
      <c r="O15" s="1">
        <v>131</v>
      </c>
      <c r="P15" s="1">
        <v>318</v>
      </c>
      <c r="Q15" s="1">
        <v>2.427</v>
      </c>
      <c r="R15" s="1">
        <v>5.9370000000000003</v>
      </c>
      <c r="S15" s="1">
        <v>255</v>
      </c>
    </row>
    <row r="16" spans="2:19" x14ac:dyDescent="0.25">
      <c r="B16" t="s">
        <v>23</v>
      </c>
      <c r="C16" s="2">
        <f>HIP_HVOF_APS_Al2O3_0250X!K6</f>
        <v>60</v>
      </c>
      <c r="G16">
        <v>10</v>
      </c>
      <c r="H16" s="1">
        <v>5.9370000000000003</v>
      </c>
      <c r="J16" t="s">
        <v>3</v>
      </c>
      <c r="K16" t="s">
        <v>4</v>
      </c>
      <c r="N16" s="1">
        <v>11</v>
      </c>
      <c r="O16" s="1">
        <v>151</v>
      </c>
      <c r="P16" s="1">
        <v>327</v>
      </c>
      <c r="Q16" s="1">
        <v>2.1659999999999999</v>
      </c>
      <c r="R16" s="1">
        <v>6.1050000000000004</v>
      </c>
      <c r="S16" s="1">
        <v>255</v>
      </c>
    </row>
    <row r="17" spans="2:19" x14ac:dyDescent="0.25">
      <c r="G17">
        <v>11</v>
      </c>
      <c r="H17" s="1">
        <v>6.1050000000000004</v>
      </c>
      <c r="J17">
        <v>20</v>
      </c>
      <c r="K17">
        <v>2.093</v>
      </c>
      <c r="N17" s="1">
        <v>12</v>
      </c>
      <c r="O17" s="1">
        <v>140</v>
      </c>
      <c r="P17" s="1">
        <v>273</v>
      </c>
      <c r="Q17" s="1">
        <v>1.95</v>
      </c>
      <c r="R17" s="1">
        <v>5.0970000000000004</v>
      </c>
      <c r="S17" s="1">
        <v>255</v>
      </c>
    </row>
    <row r="18" spans="2:19" x14ac:dyDescent="0.25">
      <c r="B18" s="1" t="s">
        <v>66</v>
      </c>
      <c r="C18" s="3">
        <v>0</v>
      </c>
      <c r="G18">
        <v>12</v>
      </c>
      <c r="H18" s="1">
        <v>5.0970000000000004</v>
      </c>
      <c r="J18">
        <v>21</v>
      </c>
      <c r="K18">
        <v>2.0859999999999999</v>
      </c>
      <c r="N18" s="1">
        <v>13</v>
      </c>
      <c r="O18" s="1">
        <v>138</v>
      </c>
      <c r="P18" s="1">
        <v>288</v>
      </c>
      <c r="Q18" s="1">
        <v>2.0870000000000002</v>
      </c>
      <c r="R18" s="1">
        <v>5.3769999999999998</v>
      </c>
      <c r="S18" s="1">
        <v>255</v>
      </c>
    </row>
    <row r="19" spans="2:19" x14ac:dyDescent="0.25">
      <c r="B19" s="1" t="s">
        <v>53</v>
      </c>
      <c r="C19" s="2">
        <v>0</v>
      </c>
      <c r="G19">
        <v>13</v>
      </c>
      <c r="H19" s="1">
        <v>5.3769999999999998</v>
      </c>
      <c r="J19">
        <v>22</v>
      </c>
      <c r="K19">
        <v>2.08</v>
      </c>
      <c r="N19" s="1">
        <v>14</v>
      </c>
      <c r="O19" s="1">
        <v>130</v>
      </c>
      <c r="P19" s="1">
        <v>302</v>
      </c>
      <c r="Q19" s="1">
        <v>2.323</v>
      </c>
      <c r="R19" s="1">
        <v>5.6390000000000002</v>
      </c>
      <c r="S19" s="1">
        <v>255</v>
      </c>
    </row>
    <row r="20" spans="2:19" x14ac:dyDescent="0.25">
      <c r="B20" s="1" t="s">
        <v>54</v>
      </c>
      <c r="C20" s="2">
        <v>113</v>
      </c>
      <c r="G20">
        <v>14</v>
      </c>
      <c r="H20" s="1">
        <v>5.6390000000000002</v>
      </c>
      <c r="J20">
        <v>23</v>
      </c>
      <c r="K20">
        <v>2.0739999999999998</v>
      </c>
      <c r="N20" s="1">
        <v>15</v>
      </c>
      <c r="O20" s="1">
        <v>126</v>
      </c>
      <c r="P20" s="1">
        <v>430</v>
      </c>
      <c r="Q20" s="1">
        <v>3.4129999999999998</v>
      </c>
      <c r="R20" s="1">
        <v>8.0280000000000005</v>
      </c>
      <c r="S20" s="1">
        <v>255</v>
      </c>
    </row>
    <row r="21" spans="2:19" x14ac:dyDescent="0.25">
      <c r="G21">
        <v>15</v>
      </c>
      <c r="H21" s="1">
        <v>8.0280000000000005</v>
      </c>
      <c r="J21">
        <v>24</v>
      </c>
      <c r="K21">
        <v>2.069</v>
      </c>
      <c r="N21" s="1">
        <v>16</v>
      </c>
      <c r="O21" s="1">
        <v>133</v>
      </c>
      <c r="P21" s="1">
        <v>240</v>
      </c>
      <c r="Q21" s="1">
        <v>1.8049999999999999</v>
      </c>
      <c r="R21" s="1">
        <v>4.4809999999999999</v>
      </c>
      <c r="S21" s="1">
        <v>255</v>
      </c>
    </row>
    <row r="22" spans="2:19" x14ac:dyDescent="0.25">
      <c r="G22">
        <v>16</v>
      </c>
      <c r="H22" s="1">
        <v>4.4809999999999999</v>
      </c>
      <c r="J22">
        <v>25</v>
      </c>
      <c r="K22">
        <v>2.0640000000000001</v>
      </c>
      <c r="N22" s="1">
        <v>17</v>
      </c>
      <c r="O22" s="1">
        <v>151</v>
      </c>
      <c r="P22" s="1">
        <v>259</v>
      </c>
      <c r="Q22" s="1">
        <v>1.7150000000000001</v>
      </c>
      <c r="R22" s="1">
        <v>4.8360000000000003</v>
      </c>
      <c r="S22" s="1">
        <v>255</v>
      </c>
    </row>
    <row r="23" spans="2:19" x14ac:dyDescent="0.25">
      <c r="C23" s="4"/>
      <c r="G23">
        <v>17</v>
      </c>
      <c r="H23" s="1">
        <v>4.8360000000000003</v>
      </c>
      <c r="J23">
        <v>26</v>
      </c>
      <c r="K23">
        <v>2.06</v>
      </c>
      <c r="N23" s="1">
        <v>18</v>
      </c>
      <c r="O23" s="1">
        <v>127</v>
      </c>
      <c r="P23" s="1">
        <v>301</v>
      </c>
      <c r="Q23" s="1">
        <v>2.37</v>
      </c>
      <c r="R23" s="1">
        <v>5.62</v>
      </c>
      <c r="S23" s="1">
        <v>255</v>
      </c>
    </row>
    <row r="24" spans="2:19" x14ac:dyDescent="0.25">
      <c r="G24">
        <v>18</v>
      </c>
      <c r="H24" s="1">
        <v>5.62</v>
      </c>
      <c r="J24">
        <v>27</v>
      </c>
      <c r="K24">
        <v>2.056</v>
      </c>
      <c r="N24" s="1">
        <v>19</v>
      </c>
      <c r="O24" s="1">
        <v>156</v>
      </c>
      <c r="P24" s="1">
        <v>388</v>
      </c>
      <c r="Q24" s="1">
        <v>2.4870000000000001</v>
      </c>
      <c r="R24" s="1">
        <v>7.2439999999999998</v>
      </c>
      <c r="S24" s="1">
        <v>255</v>
      </c>
    </row>
    <row r="25" spans="2:19" x14ac:dyDescent="0.25">
      <c r="G25">
        <v>19</v>
      </c>
      <c r="H25" s="1">
        <v>7.2439999999999998</v>
      </c>
      <c r="J25">
        <v>28</v>
      </c>
      <c r="K25">
        <v>2.052</v>
      </c>
      <c r="N25" s="1">
        <v>20</v>
      </c>
      <c r="O25" s="1">
        <v>136</v>
      </c>
      <c r="P25" s="1">
        <v>324</v>
      </c>
      <c r="Q25" s="1">
        <v>2.3820000000000001</v>
      </c>
      <c r="R25" s="1">
        <v>6.0490000000000004</v>
      </c>
      <c r="S25" s="1">
        <v>255</v>
      </c>
    </row>
    <row r="26" spans="2:19" x14ac:dyDescent="0.25">
      <c r="G26">
        <v>20</v>
      </c>
      <c r="H26" s="1">
        <v>6.0490000000000004</v>
      </c>
      <c r="J26">
        <v>29</v>
      </c>
      <c r="K26">
        <v>2.048</v>
      </c>
      <c r="N26" s="1">
        <v>21</v>
      </c>
      <c r="O26" s="1">
        <v>155</v>
      </c>
      <c r="P26" s="1">
        <v>303</v>
      </c>
      <c r="Q26" s="1">
        <v>1.9550000000000001</v>
      </c>
      <c r="R26" s="1">
        <v>5.657</v>
      </c>
      <c r="S26" s="1">
        <v>255</v>
      </c>
    </row>
    <row r="27" spans="2:19" x14ac:dyDescent="0.25">
      <c r="G27">
        <v>21</v>
      </c>
      <c r="H27" s="1">
        <v>5.657</v>
      </c>
      <c r="J27">
        <v>30</v>
      </c>
      <c r="K27">
        <v>2.0449999999999999</v>
      </c>
      <c r="N27" s="1">
        <v>22</v>
      </c>
      <c r="O27" s="1">
        <v>145</v>
      </c>
      <c r="P27" s="1">
        <v>324</v>
      </c>
      <c r="Q27" s="1">
        <v>2.234</v>
      </c>
      <c r="R27" s="1">
        <v>6.0490000000000004</v>
      </c>
      <c r="S27" s="1">
        <v>255</v>
      </c>
    </row>
    <row r="28" spans="2:19" x14ac:dyDescent="0.25">
      <c r="G28">
        <v>22</v>
      </c>
      <c r="H28" s="1">
        <v>6.0490000000000004</v>
      </c>
      <c r="J28">
        <v>40</v>
      </c>
      <c r="K28">
        <v>2.02</v>
      </c>
      <c r="N28" s="1">
        <v>23</v>
      </c>
      <c r="O28" s="1">
        <v>144</v>
      </c>
      <c r="P28" s="1">
        <v>313</v>
      </c>
      <c r="Q28" s="1">
        <v>2.1739999999999999</v>
      </c>
      <c r="R28" s="1">
        <v>5.8440000000000003</v>
      </c>
      <c r="S28" s="1">
        <v>255</v>
      </c>
    </row>
    <row r="29" spans="2:19" x14ac:dyDescent="0.25">
      <c r="G29">
        <v>23</v>
      </c>
      <c r="H29" s="1">
        <v>5.8440000000000003</v>
      </c>
      <c r="J29">
        <v>60</v>
      </c>
      <c r="K29">
        <v>2</v>
      </c>
      <c r="N29" s="1">
        <v>24</v>
      </c>
      <c r="O29" s="1">
        <v>151</v>
      </c>
      <c r="P29" s="1">
        <v>376</v>
      </c>
      <c r="Q29" s="1">
        <v>2.4900000000000002</v>
      </c>
      <c r="R29" s="1">
        <v>7.02</v>
      </c>
      <c r="S29" s="1">
        <v>255</v>
      </c>
    </row>
    <row r="30" spans="2:19" x14ac:dyDescent="0.25">
      <c r="G30">
        <v>24</v>
      </c>
      <c r="H30" s="1">
        <v>7.02</v>
      </c>
      <c r="N30" s="1">
        <v>25</v>
      </c>
      <c r="O30" s="1">
        <v>134</v>
      </c>
      <c r="P30" s="1">
        <v>390</v>
      </c>
      <c r="Q30" s="1">
        <v>2.91</v>
      </c>
      <c r="R30" s="1">
        <v>7.282</v>
      </c>
      <c r="S30" s="1">
        <v>255</v>
      </c>
    </row>
    <row r="31" spans="2:19" x14ac:dyDescent="0.25">
      <c r="G31">
        <v>25</v>
      </c>
      <c r="H31" s="1">
        <v>7.282</v>
      </c>
      <c r="N31" s="1">
        <v>1</v>
      </c>
      <c r="O31" s="1">
        <v>201</v>
      </c>
      <c r="P31" s="1">
        <v>445</v>
      </c>
      <c r="Q31" s="1">
        <v>2.214</v>
      </c>
      <c r="R31" s="1">
        <v>4.4820000000000002</v>
      </c>
      <c r="S31" s="1">
        <v>255</v>
      </c>
    </row>
    <row r="32" spans="2:19" x14ac:dyDescent="0.25">
      <c r="G32">
        <v>26</v>
      </c>
      <c r="H32" s="1">
        <v>4.4820000000000002</v>
      </c>
      <c r="N32" s="1">
        <v>2</v>
      </c>
      <c r="O32" s="1">
        <v>212</v>
      </c>
      <c r="P32" s="1">
        <v>458</v>
      </c>
      <c r="Q32" s="1">
        <v>2.16</v>
      </c>
      <c r="R32" s="1">
        <v>4.6130000000000004</v>
      </c>
      <c r="S32" s="1">
        <v>255</v>
      </c>
    </row>
    <row r="33" spans="7:19" x14ac:dyDescent="0.25">
      <c r="G33">
        <v>27</v>
      </c>
      <c r="H33" s="1">
        <v>4.6130000000000004</v>
      </c>
      <c r="N33" s="1">
        <v>3</v>
      </c>
      <c r="O33" s="1">
        <v>253</v>
      </c>
      <c r="P33" s="1">
        <v>584</v>
      </c>
      <c r="Q33" s="1">
        <v>2.3079999999999998</v>
      </c>
      <c r="R33" s="1">
        <v>5.8819999999999997</v>
      </c>
      <c r="S33" s="1">
        <v>255</v>
      </c>
    </row>
    <row r="34" spans="7:19" x14ac:dyDescent="0.25">
      <c r="G34">
        <v>28</v>
      </c>
      <c r="H34" s="1">
        <v>5.8819999999999997</v>
      </c>
      <c r="N34" s="1">
        <v>4</v>
      </c>
      <c r="O34" s="1">
        <v>269</v>
      </c>
      <c r="P34" s="1">
        <v>598</v>
      </c>
      <c r="Q34" s="1">
        <v>2.2229999999999999</v>
      </c>
      <c r="R34" s="1">
        <v>6.0229999999999997</v>
      </c>
      <c r="S34" s="1">
        <v>255</v>
      </c>
    </row>
    <row r="35" spans="7:19" x14ac:dyDescent="0.25">
      <c r="G35">
        <v>29</v>
      </c>
      <c r="H35" s="1">
        <v>6.0229999999999997</v>
      </c>
      <c r="N35" s="1">
        <v>5</v>
      </c>
      <c r="O35" s="1">
        <v>264</v>
      </c>
      <c r="P35" s="1">
        <v>617</v>
      </c>
      <c r="Q35" s="1">
        <v>2.3370000000000002</v>
      </c>
      <c r="R35" s="1">
        <v>6.2149999999999999</v>
      </c>
      <c r="S35" s="1">
        <v>255</v>
      </c>
    </row>
    <row r="36" spans="7:19" x14ac:dyDescent="0.25">
      <c r="G36">
        <v>30</v>
      </c>
      <c r="H36" s="1">
        <v>6.2149999999999999</v>
      </c>
      <c r="N36" s="1">
        <v>6</v>
      </c>
      <c r="O36" s="1">
        <v>208</v>
      </c>
      <c r="P36" s="1">
        <v>456</v>
      </c>
      <c r="Q36" s="1">
        <v>2.1920000000000002</v>
      </c>
      <c r="R36" s="1">
        <v>4.593</v>
      </c>
      <c r="S36" s="1">
        <v>255</v>
      </c>
    </row>
    <row r="37" spans="7:19" x14ac:dyDescent="0.25">
      <c r="G37">
        <v>31</v>
      </c>
      <c r="H37" s="1">
        <v>4.593</v>
      </c>
      <c r="N37" s="1">
        <v>7</v>
      </c>
      <c r="O37" s="1">
        <v>212</v>
      </c>
      <c r="P37" s="1">
        <v>479</v>
      </c>
      <c r="Q37" s="1">
        <v>2.2589999999999999</v>
      </c>
      <c r="R37" s="1">
        <v>4.8250000000000002</v>
      </c>
      <c r="S37" s="1">
        <v>255</v>
      </c>
    </row>
    <row r="38" spans="7:19" x14ac:dyDescent="0.25">
      <c r="G38">
        <v>32</v>
      </c>
      <c r="H38" s="1">
        <v>4.8250000000000002</v>
      </c>
      <c r="N38" s="1">
        <v>8</v>
      </c>
      <c r="O38" s="1">
        <v>207</v>
      </c>
      <c r="P38" s="1">
        <v>413</v>
      </c>
      <c r="Q38" s="1">
        <v>1.9950000000000001</v>
      </c>
      <c r="R38" s="1">
        <v>4.16</v>
      </c>
      <c r="S38" s="1">
        <v>255</v>
      </c>
    </row>
    <row r="39" spans="7:19" x14ac:dyDescent="0.25">
      <c r="G39">
        <v>33</v>
      </c>
      <c r="H39" s="1">
        <v>4.16</v>
      </c>
      <c r="N39" s="1">
        <v>9</v>
      </c>
      <c r="O39" s="1">
        <v>214</v>
      </c>
      <c r="P39" s="1">
        <v>546</v>
      </c>
      <c r="Q39" s="1">
        <v>2.5510000000000002</v>
      </c>
      <c r="R39" s="1">
        <v>5.5</v>
      </c>
      <c r="S39" s="1">
        <v>255</v>
      </c>
    </row>
    <row r="40" spans="7:19" x14ac:dyDescent="0.25">
      <c r="G40">
        <v>34</v>
      </c>
      <c r="H40" s="1">
        <v>5.5</v>
      </c>
      <c r="N40" s="1">
        <v>10</v>
      </c>
      <c r="O40" s="1">
        <v>246</v>
      </c>
      <c r="P40" s="1">
        <v>595</v>
      </c>
      <c r="Q40" s="1">
        <v>2.419</v>
      </c>
      <c r="R40" s="1">
        <v>5.9930000000000003</v>
      </c>
      <c r="S40" s="1">
        <v>255</v>
      </c>
    </row>
    <row r="41" spans="7:19" x14ac:dyDescent="0.25">
      <c r="G41">
        <v>35</v>
      </c>
      <c r="H41" s="1">
        <v>5.9930000000000003</v>
      </c>
      <c r="N41" s="1">
        <v>11</v>
      </c>
      <c r="O41" s="1">
        <v>233</v>
      </c>
      <c r="P41" s="1">
        <v>619</v>
      </c>
      <c r="Q41" s="1">
        <v>2.657</v>
      </c>
      <c r="R41" s="1">
        <v>6.2350000000000003</v>
      </c>
      <c r="S41" s="1">
        <v>255</v>
      </c>
    </row>
    <row r="42" spans="7:19" x14ac:dyDescent="0.25">
      <c r="G42">
        <v>36</v>
      </c>
      <c r="H42" s="1">
        <v>6.2350000000000003</v>
      </c>
      <c r="N42" s="1">
        <v>12</v>
      </c>
      <c r="O42" s="1">
        <v>240</v>
      </c>
      <c r="P42" s="1">
        <v>563</v>
      </c>
      <c r="Q42" s="1">
        <v>2.3460000000000001</v>
      </c>
      <c r="R42" s="1">
        <v>5.6710000000000003</v>
      </c>
      <c r="S42" s="1">
        <v>255</v>
      </c>
    </row>
    <row r="43" spans="7:19" x14ac:dyDescent="0.25">
      <c r="G43">
        <v>37</v>
      </c>
      <c r="H43" s="1">
        <v>5.6710000000000003</v>
      </c>
      <c r="N43" s="1">
        <v>13</v>
      </c>
      <c r="O43" s="1">
        <v>258</v>
      </c>
      <c r="P43" s="1">
        <v>660</v>
      </c>
      <c r="Q43" s="1">
        <v>2.5579999999999998</v>
      </c>
      <c r="R43" s="1">
        <v>6.6479999999999997</v>
      </c>
      <c r="S43" s="1">
        <v>255</v>
      </c>
    </row>
    <row r="44" spans="7:19" x14ac:dyDescent="0.25">
      <c r="G44">
        <v>38</v>
      </c>
      <c r="H44" s="1">
        <v>6.6479999999999997</v>
      </c>
      <c r="N44" s="1">
        <v>14</v>
      </c>
      <c r="O44" s="1">
        <v>216</v>
      </c>
      <c r="P44" s="1">
        <v>581</v>
      </c>
      <c r="Q44" s="1">
        <v>2.69</v>
      </c>
      <c r="R44" s="1">
        <v>5.8520000000000003</v>
      </c>
      <c r="S44" s="1">
        <v>255</v>
      </c>
    </row>
    <row r="45" spans="7:19" x14ac:dyDescent="0.25">
      <c r="G45">
        <v>39</v>
      </c>
      <c r="H45" s="1">
        <v>5.8520000000000003</v>
      </c>
      <c r="N45" s="1">
        <v>15</v>
      </c>
      <c r="O45" s="1">
        <v>228</v>
      </c>
      <c r="P45" s="1">
        <v>351</v>
      </c>
      <c r="Q45" s="1">
        <v>1.5389999999999999</v>
      </c>
      <c r="R45" s="1">
        <v>3.5350000000000001</v>
      </c>
      <c r="S45" s="1">
        <v>255</v>
      </c>
    </row>
    <row r="46" spans="7:19" x14ac:dyDescent="0.25">
      <c r="G46">
        <v>40</v>
      </c>
      <c r="H46" s="1">
        <v>3.5350000000000001</v>
      </c>
      <c r="N46" s="1">
        <v>16</v>
      </c>
      <c r="O46" s="1">
        <v>234</v>
      </c>
      <c r="P46" s="1">
        <v>487</v>
      </c>
      <c r="Q46" s="1">
        <v>2.081</v>
      </c>
      <c r="R46" s="1">
        <v>4.9050000000000002</v>
      </c>
      <c r="S46" s="1">
        <v>255</v>
      </c>
    </row>
    <row r="47" spans="7:19" x14ac:dyDescent="0.25">
      <c r="G47">
        <v>41</v>
      </c>
      <c r="H47" s="1">
        <v>4.9050000000000002</v>
      </c>
      <c r="N47" s="1">
        <v>17</v>
      </c>
      <c r="O47" s="1">
        <v>261</v>
      </c>
      <c r="P47" s="1">
        <v>698</v>
      </c>
      <c r="Q47" s="1">
        <v>2.6739999999999999</v>
      </c>
      <c r="R47" s="1">
        <v>7.0309999999999997</v>
      </c>
      <c r="S47" s="1">
        <v>255</v>
      </c>
    </row>
    <row r="48" spans="7:19" x14ac:dyDescent="0.25">
      <c r="G48">
        <v>42</v>
      </c>
      <c r="H48" s="1">
        <v>7.0309999999999997</v>
      </c>
      <c r="N48" s="1">
        <v>18</v>
      </c>
      <c r="O48" s="1">
        <v>217</v>
      </c>
      <c r="P48" s="1">
        <v>549</v>
      </c>
      <c r="Q48" s="1">
        <v>2.5299999999999998</v>
      </c>
      <c r="R48" s="1">
        <v>5.53</v>
      </c>
      <c r="S48" s="1">
        <v>255</v>
      </c>
    </row>
    <row r="49" spans="7:19" x14ac:dyDescent="0.25">
      <c r="G49">
        <v>43</v>
      </c>
      <c r="H49" s="1">
        <v>5.53</v>
      </c>
      <c r="N49" s="1">
        <v>19</v>
      </c>
      <c r="O49" s="1">
        <v>230</v>
      </c>
      <c r="P49" s="1">
        <v>620</v>
      </c>
      <c r="Q49" s="1">
        <v>2.6960000000000002</v>
      </c>
      <c r="R49" s="1">
        <v>6.2450000000000001</v>
      </c>
      <c r="S49" s="1">
        <v>255</v>
      </c>
    </row>
    <row r="50" spans="7:19" x14ac:dyDescent="0.25">
      <c r="G50">
        <v>44</v>
      </c>
      <c r="H50" s="1">
        <v>6.2450000000000001</v>
      </c>
      <c r="N50" s="1">
        <v>20</v>
      </c>
      <c r="O50" s="1">
        <v>223</v>
      </c>
      <c r="P50" s="1">
        <v>597</v>
      </c>
      <c r="Q50" s="1">
        <v>2.677</v>
      </c>
      <c r="R50" s="1">
        <v>6.0129999999999999</v>
      </c>
      <c r="S50" s="1">
        <v>255</v>
      </c>
    </row>
    <row r="51" spans="7:19" x14ac:dyDescent="0.25">
      <c r="G51">
        <v>45</v>
      </c>
      <c r="H51" s="1">
        <v>6.0129999999999999</v>
      </c>
      <c r="N51" s="1">
        <v>21</v>
      </c>
      <c r="O51" s="1">
        <v>251</v>
      </c>
      <c r="P51" s="1">
        <v>718</v>
      </c>
      <c r="Q51" s="1">
        <v>2.8610000000000002</v>
      </c>
      <c r="R51" s="1">
        <v>7.2320000000000002</v>
      </c>
      <c r="S51" s="1">
        <v>255</v>
      </c>
    </row>
    <row r="52" spans="7:19" x14ac:dyDescent="0.25">
      <c r="G52">
        <v>46</v>
      </c>
      <c r="H52" s="1">
        <v>7.2320000000000002</v>
      </c>
      <c r="N52" s="1">
        <v>22</v>
      </c>
      <c r="O52" s="1">
        <v>235</v>
      </c>
      <c r="P52" s="1">
        <v>513</v>
      </c>
      <c r="Q52" s="1">
        <v>2.1829999999999998</v>
      </c>
      <c r="R52" s="1">
        <v>5.1669999999999998</v>
      </c>
      <c r="S52" s="1">
        <v>255</v>
      </c>
    </row>
    <row r="53" spans="7:19" x14ac:dyDescent="0.25">
      <c r="G53">
        <v>47</v>
      </c>
      <c r="H53" s="1">
        <v>5.1669999999999998</v>
      </c>
      <c r="N53" s="1">
        <v>23</v>
      </c>
      <c r="O53" s="1">
        <v>289</v>
      </c>
      <c r="P53" s="1">
        <v>689</v>
      </c>
      <c r="Q53" s="1">
        <v>2.3839999999999999</v>
      </c>
      <c r="R53" s="1">
        <v>6.94</v>
      </c>
      <c r="S53" s="1">
        <v>255</v>
      </c>
    </row>
    <row r="54" spans="7:19" x14ac:dyDescent="0.25">
      <c r="G54">
        <v>48</v>
      </c>
      <c r="H54" s="1">
        <v>6.94</v>
      </c>
      <c r="N54" s="1">
        <v>24</v>
      </c>
      <c r="O54" s="1">
        <v>230</v>
      </c>
      <c r="P54" s="1">
        <v>629</v>
      </c>
      <c r="Q54" s="1">
        <v>2.7349999999999999</v>
      </c>
      <c r="R54" s="1">
        <v>6.3360000000000003</v>
      </c>
      <c r="S54" s="1">
        <v>255</v>
      </c>
    </row>
    <row r="55" spans="7:19" x14ac:dyDescent="0.25">
      <c r="G55">
        <v>49</v>
      </c>
      <c r="H55" s="1">
        <v>6.3360000000000003</v>
      </c>
      <c r="N55" s="1">
        <v>25</v>
      </c>
      <c r="O55" s="1">
        <v>261</v>
      </c>
      <c r="P55" s="1">
        <v>760</v>
      </c>
      <c r="Q55" s="1">
        <v>2.9119999999999999</v>
      </c>
      <c r="R55" s="1">
        <v>7.6550000000000002</v>
      </c>
      <c r="S55" s="1">
        <v>255</v>
      </c>
    </row>
    <row r="56" spans="7:19" x14ac:dyDescent="0.25">
      <c r="G56">
        <v>50</v>
      </c>
      <c r="H56" s="1">
        <v>7.6550000000000002</v>
      </c>
      <c r="N56" s="1">
        <v>26</v>
      </c>
      <c r="O56" s="1">
        <v>237</v>
      </c>
      <c r="P56" s="1">
        <v>591</v>
      </c>
      <c r="Q56" s="1">
        <v>2.4940000000000002</v>
      </c>
      <c r="R56" s="1">
        <v>5.9530000000000003</v>
      </c>
      <c r="S56" s="1">
        <v>255</v>
      </c>
    </row>
    <row r="57" spans="7:19" x14ac:dyDescent="0.25">
      <c r="G57">
        <v>51</v>
      </c>
      <c r="H57" s="1">
        <v>5.9530000000000003</v>
      </c>
      <c r="N57" s="1">
        <v>27</v>
      </c>
      <c r="O57" s="1">
        <v>252</v>
      </c>
      <c r="P57" s="1">
        <v>704</v>
      </c>
      <c r="Q57" s="1">
        <v>2.794</v>
      </c>
      <c r="R57" s="1">
        <v>7.0910000000000002</v>
      </c>
      <c r="S57" s="1">
        <v>255</v>
      </c>
    </row>
    <row r="58" spans="7:19" x14ac:dyDescent="0.25">
      <c r="G58">
        <v>52</v>
      </c>
      <c r="H58" s="1">
        <v>7.0910000000000002</v>
      </c>
      <c r="N58" s="1">
        <v>28</v>
      </c>
      <c r="O58" s="1">
        <v>243</v>
      </c>
      <c r="P58" s="1">
        <v>658</v>
      </c>
      <c r="Q58" s="1">
        <v>2.7080000000000002</v>
      </c>
      <c r="R58" s="1">
        <v>6.6280000000000001</v>
      </c>
      <c r="S58" s="1">
        <v>255</v>
      </c>
    </row>
    <row r="59" spans="7:19" x14ac:dyDescent="0.25">
      <c r="G59">
        <v>53</v>
      </c>
      <c r="H59" s="1">
        <v>6.6280000000000001</v>
      </c>
      <c r="N59" s="1">
        <v>29</v>
      </c>
      <c r="O59" s="1">
        <v>222</v>
      </c>
      <c r="P59" s="1">
        <v>431</v>
      </c>
      <c r="Q59" s="1">
        <v>1.9410000000000001</v>
      </c>
      <c r="R59" s="1">
        <v>4.3410000000000002</v>
      </c>
      <c r="S59" s="1">
        <v>255</v>
      </c>
    </row>
    <row r="60" spans="7:19" x14ac:dyDescent="0.25">
      <c r="G60">
        <v>54</v>
      </c>
      <c r="H60" s="1">
        <v>4.3410000000000002</v>
      </c>
      <c r="N60" s="1">
        <v>30</v>
      </c>
      <c r="O60" s="1">
        <v>296</v>
      </c>
      <c r="P60" s="1">
        <v>618</v>
      </c>
      <c r="Q60" s="1">
        <v>2.0880000000000001</v>
      </c>
      <c r="R60" s="1">
        <v>6.2249999999999996</v>
      </c>
      <c r="S60" s="1">
        <v>255</v>
      </c>
    </row>
    <row r="61" spans="7:19" x14ac:dyDescent="0.25">
      <c r="G61">
        <v>55</v>
      </c>
      <c r="H61" s="1">
        <v>6.2249999999999996</v>
      </c>
      <c r="N61" s="1">
        <v>31</v>
      </c>
      <c r="O61" s="1">
        <v>275</v>
      </c>
      <c r="P61" s="1">
        <v>721</v>
      </c>
      <c r="Q61" s="1">
        <v>2.6219999999999999</v>
      </c>
      <c r="R61" s="1">
        <v>7.2619999999999996</v>
      </c>
      <c r="S61" s="1">
        <v>255</v>
      </c>
    </row>
    <row r="62" spans="7:19" x14ac:dyDescent="0.25">
      <c r="G62">
        <v>56</v>
      </c>
      <c r="H62" s="1">
        <v>7.2619999999999996</v>
      </c>
      <c r="N62" s="1">
        <v>32</v>
      </c>
      <c r="O62" s="1">
        <v>271</v>
      </c>
      <c r="P62" s="1">
        <v>666</v>
      </c>
      <c r="Q62" s="1">
        <v>2.4580000000000002</v>
      </c>
      <c r="R62" s="1">
        <v>6.7080000000000002</v>
      </c>
      <c r="S62" s="1">
        <v>255</v>
      </c>
    </row>
    <row r="63" spans="7:19" x14ac:dyDescent="0.25">
      <c r="G63">
        <v>57</v>
      </c>
      <c r="H63" s="1">
        <v>6.7080000000000002</v>
      </c>
      <c r="N63" s="1">
        <v>33</v>
      </c>
      <c r="O63" s="1">
        <v>267</v>
      </c>
      <c r="P63" s="1">
        <v>744</v>
      </c>
      <c r="Q63" s="1">
        <v>2.7869999999999999</v>
      </c>
      <c r="R63" s="1">
        <v>7.4939999999999998</v>
      </c>
      <c r="S63" s="1">
        <v>255</v>
      </c>
    </row>
    <row r="64" spans="7:19" x14ac:dyDescent="0.25">
      <c r="G64">
        <v>58</v>
      </c>
      <c r="H64" s="1">
        <v>7.4939999999999998</v>
      </c>
      <c r="N64" s="1">
        <v>34</v>
      </c>
      <c r="O64" s="1">
        <v>243</v>
      </c>
      <c r="P64" s="1">
        <v>596</v>
      </c>
      <c r="Q64" s="1">
        <v>2.4529999999999998</v>
      </c>
      <c r="R64" s="1">
        <v>6.0030000000000001</v>
      </c>
      <c r="S64" s="1">
        <v>255</v>
      </c>
    </row>
    <row r="65" spans="7:19" x14ac:dyDescent="0.25">
      <c r="G65">
        <v>59</v>
      </c>
      <c r="H65" s="1">
        <v>6.0030000000000001</v>
      </c>
      <c r="N65" s="1">
        <v>35</v>
      </c>
      <c r="O65" s="1">
        <v>234</v>
      </c>
      <c r="P65" s="1">
        <v>679</v>
      </c>
      <c r="Q65" s="1">
        <v>2.9020000000000001</v>
      </c>
      <c r="R65" s="1">
        <v>6.8390000000000004</v>
      </c>
      <c r="S65" s="1">
        <v>255</v>
      </c>
    </row>
    <row r="66" spans="7:19" x14ac:dyDescent="0.25">
      <c r="G66">
        <v>60</v>
      </c>
      <c r="H66" s="1">
        <v>6.8390000000000004</v>
      </c>
    </row>
  </sheetData>
  <mergeCells count="1">
    <mergeCell ref="B1:C1"/>
  </mergeCells>
  <pageMargins left="0.7" right="0.7" top="0.75" bottom="0.75" header="0.3" footer="0.3"/>
  <pageSetup orientation="portrait" r:id="rId1"/>
  <drawing r:id="rId2"/>
  <tableParts count="2">
    <tablePart r:id="rId3"/>
    <tablePart r:id="rId4"/>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C4EDD-FEFC-3246-A901-46EC5C014AC0}">
  <sheetPr codeName="Sheet14">
    <tabColor theme="0" tint="-0.249977111117893"/>
  </sheetPr>
  <dimension ref="B1:S66"/>
  <sheetViews>
    <sheetView zoomScaleNormal="100" workbookViewId="0">
      <selection activeCell="C6" sqref="C6"/>
    </sheetView>
  </sheetViews>
  <sheetFormatPr defaultColWidth="9.140625" defaultRowHeight="15" x14ac:dyDescent="0.25"/>
  <cols>
    <col min="1" max="1" width="3" style="1" customWidth="1"/>
    <col min="2" max="2" width="46" style="1" customWidth="1"/>
    <col min="3" max="3" width="27.140625" style="1" customWidth="1"/>
    <col min="4" max="5" width="3" style="1" customWidth="1"/>
    <col min="6" max="6" width="9.140625" style="1"/>
    <col min="7" max="7" width="36.28515625" style="1" bestFit="1" customWidth="1"/>
    <col min="8" max="8" width="14.85546875" style="1" bestFit="1" customWidth="1"/>
    <col min="9" max="9" width="9.140625" style="1"/>
    <col min="10" max="10" width="23" style="1" customWidth="1"/>
    <col min="11" max="16384" width="9.140625" style="1"/>
  </cols>
  <sheetData>
    <row r="1" spans="2:19" ht="23.25" x14ac:dyDescent="0.25">
      <c r="B1" s="18" t="s">
        <v>28</v>
      </c>
      <c r="C1" s="18"/>
    </row>
    <row r="2" spans="2:19" ht="20.25" thickBot="1" x14ac:dyDescent="0.35">
      <c r="B2" s="8" t="s">
        <v>20</v>
      </c>
    </row>
    <row r="3" spans="2:19" ht="45.75" customHeight="1" thickTop="1" x14ac:dyDescent="0.25">
      <c r="B3" s="5" t="s">
        <v>22</v>
      </c>
    </row>
    <row r="4" spans="2:19" x14ac:dyDescent="0.25">
      <c r="B4" s="5"/>
    </row>
    <row r="5" spans="2:19" x14ac:dyDescent="0.25">
      <c r="B5" t="s">
        <v>16</v>
      </c>
      <c r="C5" s="12" t="s">
        <v>71</v>
      </c>
      <c r="G5" t="s">
        <v>14</v>
      </c>
      <c r="H5" t="s">
        <v>15</v>
      </c>
    </row>
    <row r="6" spans="2:19" x14ac:dyDescent="0.25">
      <c r="B6" t="s">
        <v>17</v>
      </c>
      <c r="C6" s="2" t="s">
        <v>21</v>
      </c>
      <c r="G6" t="s">
        <v>11</v>
      </c>
      <c r="H6" t="s">
        <v>13</v>
      </c>
      <c r="J6" t="s">
        <v>58</v>
      </c>
      <c r="K6">
        <f>MAX(G7:G66)</f>
        <v>60</v>
      </c>
      <c r="N6" s="1">
        <v>1</v>
      </c>
      <c r="O6" s="1">
        <v>144</v>
      </c>
      <c r="P6" s="1">
        <v>299</v>
      </c>
      <c r="Q6" s="1">
        <v>2.0760000000000001</v>
      </c>
      <c r="R6" s="1">
        <v>5.5830000000000002</v>
      </c>
      <c r="S6" s="1">
        <v>255</v>
      </c>
    </row>
    <row r="7" spans="2:19" x14ac:dyDescent="0.25">
      <c r="B7" t="s">
        <v>18</v>
      </c>
      <c r="C7" s="6">
        <f ca="1">TODAY()</f>
        <v>45321</v>
      </c>
      <c r="G7">
        <v>1</v>
      </c>
      <c r="H7" s="1">
        <v>5.5830000000000002</v>
      </c>
      <c r="J7" t="s">
        <v>59</v>
      </c>
      <c r="K7">
        <f>VLOOKUP(K6,confidence_95_multiplier122022242830[#All],2,FALSE)</f>
        <v>2</v>
      </c>
      <c r="N7" s="1">
        <v>2</v>
      </c>
      <c r="O7" s="1">
        <v>146</v>
      </c>
      <c r="P7" s="1">
        <v>295</v>
      </c>
      <c r="Q7" s="1">
        <v>2.0209999999999999</v>
      </c>
      <c r="R7" s="1">
        <v>5.508</v>
      </c>
      <c r="S7" s="1">
        <v>255</v>
      </c>
    </row>
    <row r="8" spans="2:19" x14ac:dyDescent="0.25">
      <c r="G8">
        <v>2</v>
      </c>
      <c r="H8" s="1">
        <v>5.508</v>
      </c>
      <c r="J8" t="s">
        <v>60</v>
      </c>
      <c r="K8">
        <f>AVERAGE(porosity_readings111921232729[x_i])</f>
        <v>5.9043333333333328</v>
      </c>
      <c r="N8" s="1">
        <v>3</v>
      </c>
      <c r="O8" s="1">
        <v>134</v>
      </c>
      <c r="P8" s="1">
        <v>305</v>
      </c>
      <c r="Q8" s="1">
        <v>2.2759999999999998</v>
      </c>
      <c r="R8" s="1">
        <v>5.6950000000000003</v>
      </c>
      <c r="S8" s="1">
        <v>255</v>
      </c>
    </row>
    <row r="9" spans="2:19" x14ac:dyDescent="0.25">
      <c r="B9" t="s">
        <v>55</v>
      </c>
      <c r="C9" s="3">
        <v>1000</v>
      </c>
      <c r="G9">
        <v>3</v>
      </c>
      <c r="H9" s="1">
        <v>5.6950000000000003</v>
      </c>
      <c r="J9" t="s">
        <v>61</v>
      </c>
      <c r="K9">
        <f>_xlfn.STDEV.S(porosity_readings111921232729[x_i])</f>
        <v>0.95106047262982907</v>
      </c>
      <c r="N9" s="1">
        <v>4</v>
      </c>
      <c r="O9" s="1">
        <v>141</v>
      </c>
      <c r="P9" s="1">
        <v>302</v>
      </c>
      <c r="Q9" s="1">
        <v>2.1419999999999999</v>
      </c>
      <c r="R9" s="1">
        <v>5.6390000000000002</v>
      </c>
      <c r="S9" s="1">
        <v>255</v>
      </c>
    </row>
    <row r="10" spans="2:19" x14ac:dyDescent="0.25">
      <c r="B10" t="s">
        <v>26</v>
      </c>
      <c r="C10" s="11">
        <f>HIP_HVOF_APS_Al2O3_1000X!K8</f>
        <v>5.9043333333333328</v>
      </c>
      <c r="G10">
        <v>4</v>
      </c>
      <c r="H10" s="1">
        <v>5.6390000000000002</v>
      </c>
      <c r="J10" t="s">
        <v>62</v>
      </c>
      <c r="K10" s="7">
        <f>K9*K7/(SQRT(K6))</f>
        <v>0.24556275811543218</v>
      </c>
      <c r="N10" s="1">
        <v>5</v>
      </c>
      <c r="O10" s="1">
        <v>145</v>
      </c>
      <c r="P10" s="1">
        <v>293</v>
      </c>
      <c r="Q10" s="1">
        <v>2.0209999999999999</v>
      </c>
      <c r="R10" s="1">
        <v>5.4710000000000001</v>
      </c>
      <c r="S10" s="1">
        <v>255</v>
      </c>
    </row>
    <row r="11" spans="2:19" x14ac:dyDescent="0.25">
      <c r="B11" t="s">
        <v>25</v>
      </c>
      <c r="C11" s="9">
        <f>HIP_HVOF_APS_Al2O3_1000X!K12</f>
        <v>3.5350000000000001</v>
      </c>
      <c r="G11">
        <v>5</v>
      </c>
      <c r="H11" s="1">
        <v>5.4710000000000001</v>
      </c>
      <c r="J11" t="s">
        <v>63</v>
      </c>
      <c r="K11" s="7">
        <f>K10/K8</f>
        <v>4.159025994164154E-2</v>
      </c>
      <c r="N11" s="1">
        <v>6</v>
      </c>
      <c r="O11" s="1">
        <v>145</v>
      </c>
      <c r="P11" s="1">
        <v>241</v>
      </c>
      <c r="Q11" s="1">
        <v>1.6619999999999999</v>
      </c>
      <c r="R11" s="1">
        <v>4.5</v>
      </c>
      <c r="S11" s="1">
        <v>255</v>
      </c>
    </row>
    <row r="12" spans="2:19" x14ac:dyDescent="0.25">
      <c r="B12" t="s">
        <v>24</v>
      </c>
      <c r="C12" s="9">
        <f>HIP_HVOF_APS_Al2O3_1000X!K13</f>
        <v>8.0280000000000005</v>
      </c>
      <c r="G12">
        <v>6</v>
      </c>
      <c r="H12" s="1">
        <v>4.5</v>
      </c>
      <c r="J12" t="s">
        <v>64</v>
      </c>
      <c r="K12">
        <f>MIN(porosity_readings111921232729[x_i])</f>
        <v>3.5350000000000001</v>
      </c>
      <c r="N12" s="1">
        <v>7</v>
      </c>
      <c r="O12" s="1">
        <v>143</v>
      </c>
      <c r="P12" s="1">
        <v>274</v>
      </c>
      <c r="Q12" s="1">
        <v>1.9159999999999999</v>
      </c>
      <c r="R12" s="1">
        <v>5.1159999999999997</v>
      </c>
      <c r="S12" s="1">
        <v>255</v>
      </c>
    </row>
    <row r="13" spans="2:19" x14ac:dyDescent="0.25">
      <c r="B13" t="s">
        <v>12</v>
      </c>
      <c r="C13" s="11">
        <f>HIP_HVOF_APS_Al2O3_1000X!K9</f>
        <v>0.95106047262982907</v>
      </c>
      <c r="G13">
        <v>7</v>
      </c>
      <c r="H13" s="1">
        <v>5.1159999999999997</v>
      </c>
      <c r="J13" t="s">
        <v>65</v>
      </c>
      <c r="K13">
        <f>MAX(porosity_readings111921232729[x_i])</f>
        <v>8.0280000000000005</v>
      </c>
      <c r="N13" s="1">
        <v>8</v>
      </c>
      <c r="O13" s="1">
        <v>127</v>
      </c>
      <c r="P13" s="1">
        <v>321</v>
      </c>
      <c r="Q13" s="1">
        <v>2.528</v>
      </c>
      <c r="R13" s="1">
        <v>5.9930000000000003</v>
      </c>
      <c r="S13" s="1">
        <v>255</v>
      </c>
    </row>
    <row r="14" spans="2:19" x14ac:dyDescent="0.25">
      <c r="B14" t="s">
        <v>19</v>
      </c>
      <c r="C14" s="10">
        <f>HIP_HVOF_APS_Al2O3_1000X!K10</f>
        <v>0.24556275811543218</v>
      </c>
      <c r="G14">
        <v>8</v>
      </c>
      <c r="H14" s="1">
        <v>5.9930000000000003</v>
      </c>
      <c r="N14" s="1">
        <v>9</v>
      </c>
      <c r="O14" s="1">
        <v>144</v>
      </c>
      <c r="P14" s="1">
        <v>357</v>
      </c>
      <c r="Q14" s="1">
        <v>2.4790000000000001</v>
      </c>
      <c r="R14" s="1">
        <v>6.665</v>
      </c>
      <c r="S14" s="1">
        <v>255</v>
      </c>
    </row>
    <row r="15" spans="2:19" x14ac:dyDescent="0.25">
      <c r="B15" t="s">
        <v>27</v>
      </c>
      <c r="C15" s="14">
        <f>HIP_HVOF_APS_Al2O3_1000X!K11</f>
        <v>4.159025994164154E-2</v>
      </c>
      <c r="G15">
        <v>9</v>
      </c>
      <c r="H15" s="1">
        <v>6.665</v>
      </c>
      <c r="J15" t="s">
        <v>5</v>
      </c>
      <c r="K15"/>
      <c r="N15" s="1">
        <v>10</v>
      </c>
      <c r="O15" s="1">
        <v>131</v>
      </c>
      <c r="P15" s="1">
        <v>318</v>
      </c>
      <c r="Q15" s="1">
        <v>2.427</v>
      </c>
      <c r="R15" s="1">
        <v>5.9370000000000003</v>
      </c>
      <c r="S15" s="1">
        <v>255</v>
      </c>
    </row>
    <row r="16" spans="2:19" x14ac:dyDescent="0.25">
      <c r="B16" t="s">
        <v>23</v>
      </c>
      <c r="C16" s="2">
        <f>HIP_HVOF_APS_Al2O3_1000X!K6</f>
        <v>60</v>
      </c>
      <c r="G16">
        <v>10</v>
      </c>
      <c r="H16" s="1">
        <v>5.9370000000000003</v>
      </c>
      <c r="J16" t="s">
        <v>3</v>
      </c>
      <c r="K16" t="s">
        <v>4</v>
      </c>
      <c r="N16" s="1">
        <v>11</v>
      </c>
      <c r="O16" s="1">
        <v>151</v>
      </c>
      <c r="P16" s="1">
        <v>327</v>
      </c>
      <c r="Q16" s="1">
        <v>2.1659999999999999</v>
      </c>
      <c r="R16" s="1">
        <v>6.1050000000000004</v>
      </c>
      <c r="S16" s="1">
        <v>255</v>
      </c>
    </row>
    <row r="17" spans="2:19" x14ac:dyDescent="0.25">
      <c r="G17">
        <v>11</v>
      </c>
      <c r="H17" s="1">
        <v>6.1050000000000004</v>
      </c>
      <c r="J17">
        <v>20</v>
      </c>
      <c r="K17">
        <v>2.093</v>
      </c>
      <c r="N17" s="1">
        <v>12</v>
      </c>
      <c r="O17" s="1">
        <v>140</v>
      </c>
      <c r="P17" s="1">
        <v>273</v>
      </c>
      <c r="Q17" s="1">
        <v>1.95</v>
      </c>
      <c r="R17" s="1">
        <v>5.0970000000000004</v>
      </c>
      <c r="S17" s="1">
        <v>255</v>
      </c>
    </row>
    <row r="18" spans="2:19" x14ac:dyDescent="0.25">
      <c r="B18" s="1" t="s">
        <v>66</v>
      </c>
      <c r="C18" s="3">
        <v>0</v>
      </c>
      <c r="G18">
        <v>12</v>
      </c>
      <c r="H18" s="1">
        <v>5.0970000000000004</v>
      </c>
      <c r="J18">
        <v>21</v>
      </c>
      <c r="K18">
        <v>2.0859999999999999</v>
      </c>
      <c r="N18" s="1">
        <v>13</v>
      </c>
      <c r="O18" s="1">
        <v>138</v>
      </c>
      <c r="P18" s="1">
        <v>288</v>
      </c>
      <c r="Q18" s="1">
        <v>2.0870000000000002</v>
      </c>
      <c r="R18" s="1">
        <v>5.3769999999999998</v>
      </c>
      <c r="S18" s="1">
        <v>255</v>
      </c>
    </row>
    <row r="19" spans="2:19" x14ac:dyDescent="0.25">
      <c r="B19" s="1" t="s">
        <v>53</v>
      </c>
      <c r="C19" s="2">
        <v>0</v>
      </c>
      <c r="G19">
        <v>13</v>
      </c>
      <c r="H19" s="1">
        <v>5.3769999999999998</v>
      </c>
      <c r="J19">
        <v>22</v>
      </c>
      <c r="K19">
        <v>2.08</v>
      </c>
      <c r="N19" s="1">
        <v>14</v>
      </c>
      <c r="O19" s="1">
        <v>130</v>
      </c>
      <c r="P19" s="1">
        <v>302</v>
      </c>
      <c r="Q19" s="1">
        <v>2.323</v>
      </c>
      <c r="R19" s="1">
        <v>5.6390000000000002</v>
      </c>
      <c r="S19" s="1">
        <v>255</v>
      </c>
    </row>
    <row r="20" spans="2:19" x14ac:dyDescent="0.25">
      <c r="B20" s="1" t="s">
        <v>54</v>
      </c>
      <c r="C20" s="2">
        <v>113</v>
      </c>
      <c r="G20">
        <v>14</v>
      </c>
      <c r="H20" s="1">
        <v>5.6390000000000002</v>
      </c>
      <c r="J20">
        <v>23</v>
      </c>
      <c r="K20">
        <v>2.0739999999999998</v>
      </c>
      <c r="N20" s="1">
        <v>15</v>
      </c>
      <c r="O20" s="1">
        <v>126</v>
      </c>
      <c r="P20" s="1">
        <v>430</v>
      </c>
      <c r="Q20" s="1">
        <v>3.4129999999999998</v>
      </c>
      <c r="R20" s="1">
        <v>8.0280000000000005</v>
      </c>
      <c r="S20" s="1">
        <v>255</v>
      </c>
    </row>
    <row r="21" spans="2:19" x14ac:dyDescent="0.25">
      <c r="G21">
        <v>15</v>
      </c>
      <c r="H21" s="1">
        <v>8.0280000000000005</v>
      </c>
      <c r="J21">
        <v>24</v>
      </c>
      <c r="K21">
        <v>2.069</v>
      </c>
      <c r="N21" s="1">
        <v>16</v>
      </c>
      <c r="O21" s="1">
        <v>133</v>
      </c>
      <c r="P21" s="1">
        <v>240</v>
      </c>
      <c r="Q21" s="1">
        <v>1.8049999999999999</v>
      </c>
      <c r="R21" s="1">
        <v>4.4809999999999999</v>
      </c>
      <c r="S21" s="1">
        <v>255</v>
      </c>
    </row>
    <row r="22" spans="2:19" x14ac:dyDescent="0.25">
      <c r="G22">
        <v>16</v>
      </c>
      <c r="H22" s="1">
        <v>4.4809999999999999</v>
      </c>
      <c r="J22">
        <v>25</v>
      </c>
      <c r="K22">
        <v>2.0640000000000001</v>
      </c>
      <c r="N22" s="1">
        <v>17</v>
      </c>
      <c r="O22" s="1">
        <v>151</v>
      </c>
      <c r="P22" s="1">
        <v>259</v>
      </c>
      <c r="Q22" s="1">
        <v>1.7150000000000001</v>
      </c>
      <c r="R22" s="1">
        <v>4.8360000000000003</v>
      </c>
      <c r="S22" s="1">
        <v>255</v>
      </c>
    </row>
    <row r="23" spans="2:19" x14ac:dyDescent="0.25">
      <c r="C23" s="4"/>
      <c r="G23">
        <v>17</v>
      </c>
      <c r="H23" s="1">
        <v>4.8360000000000003</v>
      </c>
      <c r="J23">
        <v>26</v>
      </c>
      <c r="K23">
        <v>2.06</v>
      </c>
      <c r="N23" s="1">
        <v>18</v>
      </c>
      <c r="O23" s="1">
        <v>127</v>
      </c>
      <c r="P23" s="1">
        <v>301</v>
      </c>
      <c r="Q23" s="1">
        <v>2.37</v>
      </c>
      <c r="R23" s="1">
        <v>5.62</v>
      </c>
      <c r="S23" s="1">
        <v>255</v>
      </c>
    </row>
    <row r="24" spans="2:19" x14ac:dyDescent="0.25">
      <c r="G24">
        <v>18</v>
      </c>
      <c r="H24" s="1">
        <v>5.62</v>
      </c>
      <c r="J24">
        <v>27</v>
      </c>
      <c r="K24">
        <v>2.056</v>
      </c>
      <c r="N24" s="1">
        <v>19</v>
      </c>
      <c r="O24" s="1">
        <v>156</v>
      </c>
      <c r="P24" s="1">
        <v>388</v>
      </c>
      <c r="Q24" s="1">
        <v>2.4870000000000001</v>
      </c>
      <c r="R24" s="1">
        <v>7.2439999999999998</v>
      </c>
      <c r="S24" s="1">
        <v>255</v>
      </c>
    </row>
    <row r="25" spans="2:19" x14ac:dyDescent="0.25">
      <c r="G25">
        <v>19</v>
      </c>
      <c r="H25" s="1">
        <v>7.2439999999999998</v>
      </c>
      <c r="J25">
        <v>28</v>
      </c>
      <c r="K25">
        <v>2.052</v>
      </c>
      <c r="N25" s="1">
        <v>20</v>
      </c>
      <c r="O25" s="1">
        <v>136</v>
      </c>
      <c r="P25" s="1">
        <v>324</v>
      </c>
      <c r="Q25" s="1">
        <v>2.3820000000000001</v>
      </c>
      <c r="R25" s="1">
        <v>6.0490000000000004</v>
      </c>
      <c r="S25" s="1">
        <v>255</v>
      </c>
    </row>
    <row r="26" spans="2:19" x14ac:dyDescent="0.25">
      <c r="G26">
        <v>20</v>
      </c>
      <c r="H26" s="1">
        <v>6.0490000000000004</v>
      </c>
      <c r="J26">
        <v>29</v>
      </c>
      <c r="K26">
        <v>2.048</v>
      </c>
      <c r="N26" s="1">
        <v>21</v>
      </c>
      <c r="O26" s="1">
        <v>155</v>
      </c>
      <c r="P26" s="1">
        <v>303</v>
      </c>
      <c r="Q26" s="1">
        <v>1.9550000000000001</v>
      </c>
      <c r="R26" s="1">
        <v>5.657</v>
      </c>
      <c r="S26" s="1">
        <v>255</v>
      </c>
    </row>
    <row r="27" spans="2:19" x14ac:dyDescent="0.25">
      <c r="G27">
        <v>21</v>
      </c>
      <c r="H27" s="1">
        <v>5.657</v>
      </c>
      <c r="J27">
        <v>30</v>
      </c>
      <c r="K27">
        <v>2.0449999999999999</v>
      </c>
      <c r="N27" s="1">
        <v>22</v>
      </c>
      <c r="O27" s="1">
        <v>145</v>
      </c>
      <c r="P27" s="1">
        <v>324</v>
      </c>
      <c r="Q27" s="1">
        <v>2.234</v>
      </c>
      <c r="R27" s="1">
        <v>6.0490000000000004</v>
      </c>
      <c r="S27" s="1">
        <v>255</v>
      </c>
    </row>
    <row r="28" spans="2:19" x14ac:dyDescent="0.25">
      <c r="G28">
        <v>22</v>
      </c>
      <c r="H28" s="1">
        <v>6.0490000000000004</v>
      </c>
      <c r="J28">
        <v>40</v>
      </c>
      <c r="K28">
        <v>2.02</v>
      </c>
      <c r="N28" s="1">
        <v>23</v>
      </c>
      <c r="O28" s="1">
        <v>144</v>
      </c>
      <c r="P28" s="1">
        <v>313</v>
      </c>
      <c r="Q28" s="1">
        <v>2.1739999999999999</v>
      </c>
      <c r="R28" s="1">
        <v>5.8440000000000003</v>
      </c>
      <c r="S28" s="1">
        <v>255</v>
      </c>
    </row>
    <row r="29" spans="2:19" x14ac:dyDescent="0.25">
      <c r="G29">
        <v>23</v>
      </c>
      <c r="H29" s="1">
        <v>5.8440000000000003</v>
      </c>
      <c r="J29">
        <v>60</v>
      </c>
      <c r="K29">
        <v>2</v>
      </c>
      <c r="N29" s="1">
        <v>24</v>
      </c>
      <c r="O29" s="1">
        <v>151</v>
      </c>
      <c r="P29" s="1">
        <v>376</v>
      </c>
      <c r="Q29" s="1">
        <v>2.4900000000000002</v>
      </c>
      <c r="R29" s="1">
        <v>7.02</v>
      </c>
      <c r="S29" s="1">
        <v>255</v>
      </c>
    </row>
    <row r="30" spans="2:19" x14ac:dyDescent="0.25">
      <c r="G30">
        <v>24</v>
      </c>
      <c r="H30" s="1">
        <v>7.02</v>
      </c>
      <c r="N30" s="1">
        <v>25</v>
      </c>
      <c r="O30" s="1">
        <v>134</v>
      </c>
      <c r="P30" s="1">
        <v>390</v>
      </c>
      <c r="Q30" s="1">
        <v>2.91</v>
      </c>
      <c r="R30" s="1">
        <v>7.282</v>
      </c>
      <c r="S30" s="1">
        <v>255</v>
      </c>
    </row>
    <row r="31" spans="2:19" x14ac:dyDescent="0.25">
      <c r="G31">
        <v>25</v>
      </c>
      <c r="H31" s="1">
        <v>7.282</v>
      </c>
      <c r="N31" s="1">
        <v>1</v>
      </c>
      <c r="O31" s="1">
        <v>201</v>
      </c>
      <c r="P31" s="1">
        <v>445</v>
      </c>
      <c r="Q31" s="1">
        <v>2.214</v>
      </c>
      <c r="R31" s="1">
        <v>4.4820000000000002</v>
      </c>
      <c r="S31" s="1">
        <v>255</v>
      </c>
    </row>
    <row r="32" spans="2:19" x14ac:dyDescent="0.25">
      <c r="G32">
        <v>26</v>
      </c>
      <c r="H32" s="1">
        <v>4.4820000000000002</v>
      </c>
      <c r="N32" s="1">
        <v>2</v>
      </c>
      <c r="O32" s="1">
        <v>212</v>
      </c>
      <c r="P32" s="1">
        <v>458</v>
      </c>
      <c r="Q32" s="1">
        <v>2.16</v>
      </c>
      <c r="R32" s="1">
        <v>4.6130000000000004</v>
      </c>
      <c r="S32" s="1">
        <v>255</v>
      </c>
    </row>
    <row r="33" spans="7:19" x14ac:dyDescent="0.25">
      <c r="G33">
        <v>27</v>
      </c>
      <c r="H33" s="1">
        <v>4.6130000000000004</v>
      </c>
      <c r="N33" s="1">
        <v>3</v>
      </c>
      <c r="O33" s="1">
        <v>253</v>
      </c>
      <c r="P33" s="1">
        <v>584</v>
      </c>
      <c r="Q33" s="1">
        <v>2.3079999999999998</v>
      </c>
      <c r="R33" s="1">
        <v>5.8819999999999997</v>
      </c>
      <c r="S33" s="1">
        <v>255</v>
      </c>
    </row>
    <row r="34" spans="7:19" x14ac:dyDescent="0.25">
      <c r="G34">
        <v>28</v>
      </c>
      <c r="H34" s="1">
        <v>5.8819999999999997</v>
      </c>
      <c r="N34" s="1">
        <v>4</v>
      </c>
      <c r="O34" s="1">
        <v>269</v>
      </c>
      <c r="P34" s="1">
        <v>598</v>
      </c>
      <c r="Q34" s="1">
        <v>2.2229999999999999</v>
      </c>
      <c r="R34" s="1">
        <v>6.0229999999999997</v>
      </c>
      <c r="S34" s="1">
        <v>255</v>
      </c>
    </row>
    <row r="35" spans="7:19" x14ac:dyDescent="0.25">
      <c r="G35">
        <v>29</v>
      </c>
      <c r="H35" s="1">
        <v>6.0229999999999997</v>
      </c>
      <c r="N35" s="1">
        <v>5</v>
      </c>
      <c r="O35" s="1">
        <v>264</v>
      </c>
      <c r="P35" s="1">
        <v>617</v>
      </c>
      <c r="Q35" s="1">
        <v>2.3370000000000002</v>
      </c>
      <c r="R35" s="1">
        <v>6.2149999999999999</v>
      </c>
      <c r="S35" s="1">
        <v>255</v>
      </c>
    </row>
    <row r="36" spans="7:19" x14ac:dyDescent="0.25">
      <c r="G36">
        <v>30</v>
      </c>
      <c r="H36" s="1">
        <v>6.2149999999999999</v>
      </c>
      <c r="N36" s="1">
        <v>6</v>
      </c>
      <c r="O36" s="1">
        <v>208</v>
      </c>
      <c r="P36" s="1">
        <v>456</v>
      </c>
      <c r="Q36" s="1">
        <v>2.1920000000000002</v>
      </c>
      <c r="R36" s="1">
        <v>4.593</v>
      </c>
      <c r="S36" s="1">
        <v>255</v>
      </c>
    </row>
    <row r="37" spans="7:19" x14ac:dyDescent="0.25">
      <c r="G37">
        <v>31</v>
      </c>
      <c r="H37" s="1">
        <v>4.593</v>
      </c>
      <c r="N37" s="1">
        <v>7</v>
      </c>
      <c r="O37" s="1">
        <v>212</v>
      </c>
      <c r="P37" s="1">
        <v>479</v>
      </c>
      <c r="Q37" s="1">
        <v>2.2589999999999999</v>
      </c>
      <c r="R37" s="1">
        <v>4.8250000000000002</v>
      </c>
      <c r="S37" s="1">
        <v>255</v>
      </c>
    </row>
    <row r="38" spans="7:19" x14ac:dyDescent="0.25">
      <c r="G38">
        <v>32</v>
      </c>
      <c r="H38" s="1">
        <v>4.8250000000000002</v>
      </c>
      <c r="N38" s="1">
        <v>8</v>
      </c>
      <c r="O38" s="1">
        <v>207</v>
      </c>
      <c r="P38" s="1">
        <v>413</v>
      </c>
      <c r="Q38" s="1">
        <v>1.9950000000000001</v>
      </c>
      <c r="R38" s="1">
        <v>4.16</v>
      </c>
      <c r="S38" s="1">
        <v>255</v>
      </c>
    </row>
    <row r="39" spans="7:19" x14ac:dyDescent="0.25">
      <c r="G39">
        <v>33</v>
      </c>
      <c r="H39" s="1">
        <v>4.16</v>
      </c>
      <c r="N39" s="1">
        <v>9</v>
      </c>
      <c r="O39" s="1">
        <v>214</v>
      </c>
      <c r="P39" s="1">
        <v>546</v>
      </c>
      <c r="Q39" s="1">
        <v>2.5510000000000002</v>
      </c>
      <c r="R39" s="1">
        <v>5.5</v>
      </c>
      <c r="S39" s="1">
        <v>255</v>
      </c>
    </row>
    <row r="40" spans="7:19" x14ac:dyDescent="0.25">
      <c r="G40">
        <v>34</v>
      </c>
      <c r="H40" s="1">
        <v>5.5</v>
      </c>
      <c r="N40" s="1">
        <v>10</v>
      </c>
      <c r="O40" s="1">
        <v>246</v>
      </c>
      <c r="P40" s="1">
        <v>595</v>
      </c>
      <c r="Q40" s="1">
        <v>2.419</v>
      </c>
      <c r="R40" s="1">
        <v>5.9930000000000003</v>
      </c>
      <c r="S40" s="1">
        <v>255</v>
      </c>
    </row>
    <row r="41" spans="7:19" x14ac:dyDescent="0.25">
      <c r="G41">
        <v>35</v>
      </c>
      <c r="H41" s="1">
        <v>5.9930000000000003</v>
      </c>
      <c r="N41" s="1">
        <v>11</v>
      </c>
      <c r="O41" s="1">
        <v>233</v>
      </c>
      <c r="P41" s="1">
        <v>619</v>
      </c>
      <c r="Q41" s="1">
        <v>2.657</v>
      </c>
      <c r="R41" s="1">
        <v>6.2350000000000003</v>
      </c>
      <c r="S41" s="1">
        <v>255</v>
      </c>
    </row>
    <row r="42" spans="7:19" x14ac:dyDescent="0.25">
      <c r="G42">
        <v>36</v>
      </c>
      <c r="H42" s="1">
        <v>6.2350000000000003</v>
      </c>
      <c r="N42" s="1">
        <v>12</v>
      </c>
      <c r="O42" s="1">
        <v>240</v>
      </c>
      <c r="P42" s="1">
        <v>563</v>
      </c>
      <c r="Q42" s="1">
        <v>2.3460000000000001</v>
      </c>
      <c r="R42" s="1">
        <v>5.6710000000000003</v>
      </c>
      <c r="S42" s="1">
        <v>255</v>
      </c>
    </row>
    <row r="43" spans="7:19" x14ac:dyDescent="0.25">
      <c r="G43">
        <v>37</v>
      </c>
      <c r="H43" s="1">
        <v>5.6710000000000003</v>
      </c>
      <c r="N43" s="1">
        <v>13</v>
      </c>
      <c r="O43" s="1">
        <v>258</v>
      </c>
      <c r="P43" s="1">
        <v>660</v>
      </c>
      <c r="Q43" s="1">
        <v>2.5579999999999998</v>
      </c>
      <c r="R43" s="1">
        <v>6.6479999999999997</v>
      </c>
      <c r="S43" s="1">
        <v>255</v>
      </c>
    </row>
    <row r="44" spans="7:19" x14ac:dyDescent="0.25">
      <c r="G44">
        <v>38</v>
      </c>
      <c r="H44" s="1">
        <v>6.6479999999999997</v>
      </c>
      <c r="N44" s="1">
        <v>14</v>
      </c>
      <c r="O44" s="1">
        <v>216</v>
      </c>
      <c r="P44" s="1">
        <v>581</v>
      </c>
      <c r="Q44" s="1">
        <v>2.69</v>
      </c>
      <c r="R44" s="1">
        <v>5.8520000000000003</v>
      </c>
      <c r="S44" s="1">
        <v>255</v>
      </c>
    </row>
    <row r="45" spans="7:19" x14ac:dyDescent="0.25">
      <c r="G45">
        <v>39</v>
      </c>
      <c r="H45" s="1">
        <v>5.8520000000000003</v>
      </c>
      <c r="N45" s="1">
        <v>15</v>
      </c>
      <c r="O45" s="1">
        <v>228</v>
      </c>
      <c r="P45" s="1">
        <v>351</v>
      </c>
      <c r="Q45" s="1">
        <v>1.5389999999999999</v>
      </c>
      <c r="R45" s="1">
        <v>3.5350000000000001</v>
      </c>
      <c r="S45" s="1">
        <v>255</v>
      </c>
    </row>
    <row r="46" spans="7:19" x14ac:dyDescent="0.25">
      <c r="G46">
        <v>40</v>
      </c>
      <c r="H46" s="1">
        <v>3.5350000000000001</v>
      </c>
      <c r="N46" s="1">
        <v>16</v>
      </c>
      <c r="O46" s="1">
        <v>234</v>
      </c>
      <c r="P46" s="1">
        <v>487</v>
      </c>
      <c r="Q46" s="1">
        <v>2.081</v>
      </c>
      <c r="R46" s="1">
        <v>4.9050000000000002</v>
      </c>
      <c r="S46" s="1">
        <v>255</v>
      </c>
    </row>
    <row r="47" spans="7:19" x14ac:dyDescent="0.25">
      <c r="G47">
        <v>41</v>
      </c>
      <c r="H47" s="1">
        <v>4.9050000000000002</v>
      </c>
      <c r="N47" s="1">
        <v>17</v>
      </c>
      <c r="O47" s="1">
        <v>261</v>
      </c>
      <c r="P47" s="1">
        <v>698</v>
      </c>
      <c r="Q47" s="1">
        <v>2.6739999999999999</v>
      </c>
      <c r="R47" s="1">
        <v>7.0309999999999997</v>
      </c>
      <c r="S47" s="1">
        <v>255</v>
      </c>
    </row>
    <row r="48" spans="7:19" x14ac:dyDescent="0.25">
      <c r="G48">
        <v>42</v>
      </c>
      <c r="H48" s="1">
        <v>7.0309999999999997</v>
      </c>
      <c r="N48" s="1">
        <v>18</v>
      </c>
      <c r="O48" s="1">
        <v>217</v>
      </c>
      <c r="P48" s="1">
        <v>549</v>
      </c>
      <c r="Q48" s="1">
        <v>2.5299999999999998</v>
      </c>
      <c r="R48" s="1">
        <v>5.53</v>
      </c>
      <c r="S48" s="1">
        <v>255</v>
      </c>
    </row>
    <row r="49" spans="7:19" x14ac:dyDescent="0.25">
      <c r="G49">
        <v>43</v>
      </c>
      <c r="H49" s="1">
        <v>5.53</v>
      </c>
      <c r="N49" s="1">
        <v>19</v>
      </c>
      <c r="O49" s="1">
        <v>230</v>
      </c>
      <c r="P49" s="1">
        <v>620</v>
      </c>
      <c r="Q49" s="1">
        <v>2.6960000000000002</v>
      </c>
      <c r="R49" s="1">
        <v>6.2450000000000001</v>
      </c>
      <c r="S49" s="1">
        <v>255</v>
      </c>
    </row>
    <row r="50" spans="7:19" x14ac:dyDescent="0.25">
      <c r="G50">
        <v>44</v>
      </c>
      <c r="H50" s="1">
        <v>6.2450000000000001</v>
      </c>
      <c r="N50" s="1">
        <v>20</v>
      </c>
      <c r="O50" s="1">
        <v>223</v>
      </c>
      <c r="P50" s="1">
        <v>597</v>
      </c>
      <c r="Q50" s="1">
        <v>2.677</v>
      </c>
      <c r="R50" s="1">
        <v>6.0129999999999999</v>
      </c>
      <c r="S50" s="1">
        <v>255</v>
      </c>
    </row>
    <row r="51" spans="7:19" x14ac:dyDescent="0.25">
      <c r="G51">
        <v>45</v>
      </c>
      <c r="H51" s="1">
        <v>6.0129999999999999</v>
      </c>
      <c r="N51" s="1">
        <v>21</v>
      </c>
      <c r="O51" s="1">
        <v>251</v>
      </c>
      <c r="P51" s="1">
        <v>718</v>
      </c>
      <c r="Q51" s="1">
        <v>2.8610000000000002</v>
      </c>
      <c r="R51" s="1">
        <v>7.2320000000000002</v>
      </c>
      <c r="S51" s="1">
        <v>255</v>
      </c>
    </row>
    <row r="52" spans="7:19" x14ac:dyDescent="0.25">
      <c r="G52">
        <v>46</v>
      </c>
      <c r="H52" s="1">
        <v>7.2320000000000002</v>
      </c>
      <c r="N52" s="1">
        <v>22</v>
      </c>
      <c r="O52" s="1">
        <v>235</v>
      </c>
      <c r="P52" s="1">
        <v>513</v>
      </c>
      <c r="Q52" s="1">
        <v>2.1829999999999998</v>
      </c>
      <c r="R52" s="1">
        <v>5.1669999999999998</v>
      </c>
      <c r="S52" s="1">
        <v>255</v>
      </c>
    </row>
    <row r="53" spans="7:19" x14ac:dyDescent="0.25">
      <c r="G53">
        <v>47</v>
      </c>
      <c r="H53" s="1">
        <v>5.1669999999999998</v>
      </c>
      <c r="N53" s="1">
        <v>23</v>
      </c>
      <c r="O53" s="1">
        <v>289</v>
      </c>
      <c r="P53" s="1">
        <v>689</v>
      </c>
      <c r="Q53" s="1">
        <v>2.3839999999999999</v>
      </c>
      <c r="R53" s="1">
        <v>6.94</v>
      </c>
      <c r="S53" s="1">
        <v>255</v>
      </c>
    </row>
    <row r="54" spans="7:19" x14ac:dyDescent="0.25">
      <c r="G54">
        <v>48</v>
      </c>
      <c r="H54" s="1">
        <v>6.94</v>
      </c>
      <c r="N54" s="1">
        <v>24</v>
      </c>
      <c r="O54" s="1">
        <v>230</v>
      </c>
      <c r="P54" s="1">
        <v>629</v>
      </c>
      <c r="Q54" s="1">
        <v>2.7349999999999999</v>
      </c>
      <c r="R54" s="1">
        <v>6.3360000000000003</v>
      </c>
      <c r="S54" s="1">
        <v>255</v>
      </c>
    </row>
    <row r="55" spans="7:19" x14ac:dyDescent="0.25">
      <c r="G55">
        <v>49</v>
      </c>
      <c r="H55" s="1">
        <v>6.3360000000000003</v>
      </c>
      <c r="N55" s="1">
        <v>25</v>
      </c>
      <c r="O55" s="1">
        <v>261</v>
      </c>
      <c r="P55" s="1">
        <v>760</v>
      </c>
      <c r="Q55" s="1">
        <v>2.9119999999999999</v>
      </c>
      <c r="R55" s="1">
        <v>7.6550000000000002</v>
      </c>
      <c r="S55" s="1">
        <v>255</v>
      </c>
    </row>
    <row r="56" spans="7:19" x14ac:dyDescent="0.25">
      <c r="G56">
        <v>50</v>
      </c>
      <c r="H56" s="1">
        <v>7.6550000000000002</v>
      </c>
      <c r="N56" s="1">
        <v>26</v>
      </c>
      <c r="O56" s="1">
        <v>237</v>
      </c>
      <c r="P56" s="1">
        <v>591</v>
      </c>
      <c r="Q56" s="1">
        <v>2.4940000000000002</v>
      </c>
      <c r="R56" s="1">
        <v>5.9530000000000003</v>
      </c>
      <c r="S56" s="1">
        <v>255</v>
      </c>
    </row>
    <row r="57" spans="7:19" x14ac:dyDescent="0.25">
      <c r="G57">
        <v>51</v>
      </c>
      <c r="H57" s="1">
        <v>5.9530000000000003</v>
      </c>
      <c r="N57" s="1">
        <v>27</v>
      </c>
      <c r="O57" s="1">
        <v>252</v>
      </c>
      <c r="P57" s="1">
        <v>704</v>
      </c>
      <c r="Q57" s="1">
        <v>2.794</v>
      </c>
      <c r="R57" s="1">
        <v>7.0910000000000002</v>
      </c>
      <c r="S57" s="1">
        <v>255</v>
      </c>
    </row>
    <row r="58" spans="7:19" x14ac:dyDescent="0.25">
      <c r="G58">
        <v>52</v>
      </c>
      <c r="H58" s="1">
        <v>7.0910000000000002</v>
      </c>
      <c r="N58" s="1">
        <v>28</v>
      </c>
      <c r="O58" s="1">
        <v>243</v>
      </c>
      <c r="P58" s="1">
        <v>658</v>
      </c>
      <c r="Q58" s="1">
        <v>2.7080000000000002</v>
      </c>
      <c r="R58" s="1">
        <v>6.6280000000000001</v>
      </c>
      <c r="S58" s="1">
        <v>255</v>
      </c>
    </row>
    <row r="59" spans="7:19" x14ac:dyDescent="0.25">
      <c r="G59">
        <v>53</v>
      </c>
      <c r="H59" s="1">
        <v>6.6280000000000001</v>
      </c>
      <c r="N59" s="1">
        <v>29</v>
      </c>
      <c r="O59" s="1">
        <v>222</v>
      </c>
      <c r="P59" s="1">
        <v>431</v>
      </c>
      <c r="Q59" s="1">
        <v>1.9410000000000001</v>
      </c>
      <c r="R59" s="1">
        <v>4.3410000000000002</v>
      </c>
      <c r="S59" s="1">
        <v>255</v>
      </c>
    </row>
    <row r="60" spans="7:19" x14ac:dyDescent="0.25">
      <c r="G60">
        <v>54</v>
      </c>
      <c r="H60" s="1">
        <v>4.3410000000000002</v>
      </c>
      <c r="N60" s="1">
        <v>30</v>
      </c>
      <c r="O60" s="1">
        <v>296</v>
      </c>
      <c r="P60" s="1">
        <v>618</v>
      </c>
      <c r="Q60" s="1">
        <v>2.0880000000000001</v>
      </c>
      <c r="R60" s="1">
        <v>6.2249999999999996</v>
      </c>
      <c r="S60" s="1">
        <v>255</v>
      </c>
    </row>
    <row r="61" spans="7:19" x14ac:dyDescent="0.25">
      <c r="G61">
        <v>55</v>
      </c>
      <c r="H61" s="1">
        <v>6.2249999999999996</v>
      </c>
      <c r="N61" s="1">
        <v>31</v>
      </c>
      <c r="O61" s="1">
        <v>275</v>
      </c>
      <c r="P61" s="1">
        <v>721</v>
      </c>
      <c r="Q61" s="1">
        <v>2.6219999999999999</v>
      </c>
      <c r="R61" s="1">
        <v>7.2619999999999996</v>
      </c>
      <c r="S61" s="1">
        <v>255</v>
      </c>
    </row>
    <row r="62" spans="7:19" x14ac:dyDescent="0.25">
      <c r="G62">
        <v>56</v>
      </c>
      <c r="H62" s="1">
        <v>7.2619999999999996</v>
      </c>
      <c r="N62" s="1">
        <v>32</v>
      </c>
      <c r="O62" s="1">
        <v>271</v>
      </c>
      <c r="P62" s="1">
        <v>666</v>
      </c>
      <c r="Q62" s="1">
        <v>2.4580000000000002</v>
      </c>
      <c r="R62" s="1">
        <v>6.7080000000000002</v>
      </c>
      <c r="S62" s="1">
        <v>255</v>
      </c>
    </row>
    <row r="63" spans="7:19" x14ac:dyDescent="0.25">
      <c r="G63">
        <v>57</v>
      </c>
      <c r="H63" s="1">
        <v>6.7080000000000002</v>
      </c>
      <c r="N63" s="1">
        <v>33</v>
      </c>
      <c r="O63" s="1">
        <v>267</v>
      </c>
      <c r="P63" s="1">
        <v>744</v>
      </c>
      <c r="Q63" s="1">
        <v>2.7869999999999999</v>
      </c>
      <c r="R63" s="1">
        <v>7.4939999999999998</v>
      </c>
      <c r="S63" s="1">
        <v>255</v>
      </c>
    </row>
    <row r="64" spans="7:19" x14ac:dyDescent="0.25">
      <c r="G64">
        <v>58</v>
      </c>
      <c r="H64" s="1">
        <v>7.4939999999999998</v>
      </c>
      <c r="N64" s="1">
        <v>34</v>
      </c>
      <c r="O64" s="1">
        <v>243</v>
      </c>
      <c r="P64" s="1">
        <v>596</v>
      </c>
      <c r="Q64" s="1">
        <v>2.4529999999999998</v>
      </c>
      <c r="R64" s="1">
        <v>6.0030000000000001</v>
      </c>
      <c r="S64" s="1">
        <v>255</v>
      </c>
    </row>
    <row r="65" spans="7:19" x14ac:dyDescent="0.25">
      <c r="G65">
        <v>59</v>
      </c>
      <c r="H65" s="1">
        <v>6.0030000000000001</v>
      </c>
      <c r="N65" s="1">
        <v>35</v>
      </c>
      <c r="O65" s="1">
        <v>234</v>
      </c>
      <c r="P65" s="1">
        <v>679</v>
      </c>
      <c r="Q65" s="1">
        <v>2.9020000000000001</v>
      </c>
      <c r="R65" s="1">
        <v>6.8390000000000004</v>
      </c>
      <c r="S65" s="1">
        <v>255</v>
      </c>
    </row>
    <row r="66" spans="7:19" x14ac:dyDescent="0.25">
      <c r="G66">
        <v>60</v>
      </c>
      <c r="H66" s="1">
        <v>6.8390000000000004</v>
      </c>
    </row>
  </sheetData>
  <mergeCells count="1">
    <mergeCell ref="B1:C1"/>
  </mergeCells>
  <pageMargins left="0.7" right="0.7" top="0.75" bottom="0.75" header="0.3" footer="0.3"/>
  <pageSetup orientation="portrait" r:id="rId1"/>
  <drawing r:id="rId2"/>
  <tableParts count="2">
    <tablePart r:id="rId3"/>
    <tablePart r:id="rId4"/>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5B14B-89FD-5A44-911E-EA10F057375B}">
  <sheetPr codeName="Sheet4">
    <tabColor theme="5" tint="0.39997558519241921"/>
  </sheetPr>
  <dimension ref="B1:S56"/>
  <sheetViews>
    <sheetView zoomScaleNormal="100" workbookViewId="0">
      <selection activeCell="C6" sqref="C6"/>
    </sheetView>
  </sheetViews>
  <sheetFormatPr defaultColWidth="9.140625" defaultRowHeight="15" x14ac:dyDescent="0.25"/>
  <cols>
    <col min="1" max="1" width="3" style="1" customWidth="1"/>
    <col min="2" max="2" width="46" style="1" customWidth="1"/>
    <col min="3" max="3" width="27.140625" style="1" customWidth="1"/>
    <col min="4" max="5" width="3" style="1" customWidth="1"/>
    <col min="6" max="6" width="9.140625" style="1"/>
    <col min="7" max="7" width="36.28515625" style="1" bestFit="1" customWidth="1"/>
    <col min="8" max="8" width="14.85546875" style="1" bestFit="1" customWidth="1"/>
    <col min="9" max="9" width="9.140625" style="1"/>
    <col min="10" max="10" width="23" style="1" customWidth="1"/>
    <col min="11" max="16384" width="9.140625" style="1"/>
  </cols>
  <sheetData>
    <row r="1" spans="2:19" ht="23.25" x14ac:dyDescent="0.25">
      <c r="B1" s="18" t="s">
        <v>28</v>
      </c>
      <c r="C1" s="18"/>
    </row>
    <row r="2" spans="2:19" ht="20.25" thickBot="1" x14ac:dyDescent="0.35">
      <c r="B2" s="8" t="s">
        <v>20</v>
      </c>
    </row>
    <row r="3" spans="2:19" ht="45.75" customHeight="1" thickTop="1" x14ac:dyDescent="0.25">
      <c r="B3" s="5" t="s">
        <v>22</v>
      </c>
    </row>
    <row r="4" spans="2:19" x14ac:dyDescent="0.25">
      <c r="B4" s="5"/>
    </row>
    <row r="5" spans="2:19" x14ac:dyDescent="0.25">
      <c r="B5" t="s">
        <v>16</v>
      </c>
      <c r="C5" s="12" t="s">
        <v>76</v>
      </c>
      <c r="G5" t="s">
        <v>14</v>
      </c>
      <c r="H5" t="s">
        <v>15</v>
      </c>
    </row>
    <row r="6" spans="2:19" x14ac:dyDescent="0.25">
      <c r="B6" t="s">
        <v>17</v>
      </c>
      <c r="C6" s="2" t="s">
        <v>21</v>
      </c>
      <c r="G6" t="s">
        <v>11</v>
      </c>
      <c r="H6" t="s">
        <v>13</v>
      </c>
      <c r="J6" t="s">
        <v>58</v>
      </c>
      <c r="K6">
        <f>MAX(G7:G31)</f>
        <v>25</v>
      </c>
      <c r="N6" s="1">
        <v>1</v>
      </c>
      <c r="O6" s="1">
        <v>177</v>
      </c>
      <c r="P6" s="1">
        <v>414</v>
      </c>
      <c r="Q6" s="1">
        <v>2.339</v>
      </c>
      <c r="R6" s="1">
        <v>11.275</v>
      </c>
      <c r="S6" s="1">
        <v>255</v>
      </c>
    </row>
    <row r="7" spans="2:19" x14ac:dyDescent="0.25">
      <c r="B7" t="s">
        <v>18</v>
      </c>
      <c r="C7" s="6">
        <f ca="1">TODAY()</f>
        <v>45321</v>
      </c>
      <c r="G7">
        <v>1</v>
      </c>
      <c r="H7" s="1">
        <v>11.275</v>
      </c>
      <c r="J7" t="s">
        <v>59</v>
      </c>
      <c r="K7">
        <f>VLOOKUP(K6,confidence_95_multiplier1220[#All],2,FALSE)</f>
        <v>2.0640000000000001</v>
      </c>
      <c r="N7" s="1">
        <v>2</v>
      </c>
      <c r="O7" s="1">
        <v>175</v>
      </c>
      <c r="P7" s="1">
        <v>396</v>
      </c>
      <c r="Q7" s="1">
        <v>2.2629999999999999</v>
      </c>
      <c r="R7" s="1">
        <v>10.784000000000001</v>
      </c>
      <c r="S7" s="1">
        <v>255</v>
      </c>
    </row>
    <row r="8" spans="2:19" x14ac:dyDescent="0.25">
      <c r="G8">
        <v>2</v>
      </c>
      <c r="H8" s="1">
        <v>10.784000000000001</v>
      </c>
      <c r="J8" t="s">
        <v>60</v>
      </c>
      <c r="K8">
        <f>AVERAGE(porosity_readings1119[x_i])</f>
        <v>8.0577600000000018</v>
      </c>
      <c r="N8" s="1">
        <v>3</v>
      </c>
      <c r="O8" s="1">
        <v>155</v>
      </c>
      <c r="P8" s="1">
        <v>330</v>
      </c>
      <c r="Q8" s="1">
        <v>2.129</v>
      </c>
      <c r="R8" s="1">
        <v>8.9870000000000001</v>
      </c>
      <c r="S8" s="1">
        <v>255</v>
      </c>
    </row>
    <row r="9" spans="2:19" x14ac:dyDescent="0.25">
      <c r="B9" t="s">
        <v>55</v>
      </c>
      <c r="C9" s="3">
        <v>1000</v>
      </c>
      <c r="G9">
        <v>3</v>
      </c>
      <c r="H9" s="1">
        <v>8.9870000000000001</v>
      </c>
      <c r="J9" t="s">
        <v>61</v>
      </c>
      <c r="K9">
        <f>_xlfn.STDEV.S(porosity_readings1119[x_i])</f>
        <v>1.8767100930440233</v>
      </c>
      <c r="N9" s="1">
        <v>4</v>
      </c>
      <c r="O9" s="1">
        <v>138</v>
      </c>
      <c r="P9" s="1">
        <v>279</v>
      </c>
      <c r="Q9" s="1">
        <v>2.0219999999999998</v>
      </c>
      <c r="R9" s="1">
        <v>7.5979999999999999</v>
      </c>
      <c r="S9" s="1">
        <v>255</v>
      </c>
    </row>
    <row r="10" spans="2:19" x14ac:dyDescent="0.25">
      <c r="B10" t="s">
        <v>26</v>
      </c>
      <c r="C10" s="11">
        <f>APS_Al2O3_0100X!K8</f>
        <v>8.0577600000000018</v>
      </c>
      <c r="G10">
        <v>4</v>
      </c>
      <c r="H10" s="1">
        <v>7.5979999999999999</v>
      </c>
      <c r="J10" t="s">
        <v>62</v>
      </c>
      <c r="K10" s="7">
        <f>K9*K7/(SQRT(K6))</f>
        <v>0.77470592640857283</v>
      </c>
      <c r="N10" s="1">
        <v>5</v>
      </c>
      <c r="O10" s="1">
        <v>108</v>
      </c>
      <c r="P10" s="1">
        <v>212</v>
      </c>
      <c r="Q10" s="1">
        <v>1.9630000000000001</v>
      </c>
      <c r="R10" s="1">
        <v>5.7729999999999997</v>
      </c>
      <c r="S10" s="1">
        <v>255</v>
      </c>
    </row>
    <row r="11" spans="2:19" x14ac:dyDescent="0.25">
      <c r="B11" t="s">
        <v>25</v>
      </c>
      <c r="C11" s="9">
        <f>APS_Al2O3_0100X!K12</f>
        <v>4.984</v>
      </c>
      <c r="G11">
        <v>5</v>
      </c>
      <c r="H11" s="1">
        <v>5.7729999999999997</v>
      </c>
      <c r="J11" t="s">
        <v>63</v>
      </c>
      <c r="K11" s="7">
        <f>K10/K8</f>
        <v>9.6144080539575849E-2</v>
      </c>
      <c r="N11" s="1">
        <v>6</v>
      </c>
      <c r="O11" s="1">
        <v>154</v>
      </c>
      <c r="P11" s="1">
        <v>355</v>
      </c>
      <c r="Q11" s="1">
        <v>2.3050000000000002</v>
      </c>
      <c r="R11" s="1">
        <v>9.6679999999999993</v>
      </c>
      <c r="S11" s="1">
        <v>255</v>
      </c>
    </row>
    <row r="12" spans="2:19" x14ac:dyDescent="0.25">
      <c r="B12" t="s">
        <v>24</v>
      </c>
      <c r="C12" s="9">
        <f>APS_Al2O3_0100X!K13</f>
        <v>11.765000000000001</v>
      </c>
      <c r="G12">
        <v>6</v>
      </c>
      <c r="H12" s="1">
        <v>9.6679999999999993</v>
      </c>
      <c r="J12" t="s">
        <v>64</v>
      </c>
      <c r="K12">
        <f>MIN(porosity_readings1119[x_i])</f>
        <v>4.984</v>
      </c>
      <c r="N12" s="1">
        <v>7</v>
      </c>
      <c r="O12" s="1">
        <v>136</v>
      </c>
      <c r="P12" s="1">
        <v>308</v>
      </c>
      <c r="Q12" s="1">
        <v>2.2650000000000001</v>
      </c>
      <c r="R12" s="1">
        <v>8.3879999999999999</v>
      </c>
      <c r="S12" s="1">
        <v>255</v>
      </c>
    </row>
    <row r="13" spans="2:19" x14ac:dyDescent="0.25">
      <c r="B13" t="s">
        <v>12</v>
      </c>
      <c r="C13" s="11">
        <f>APS_Al2O3_0100X!K9</f>
        <v>1.8767100930440233</v>
      </c>
      <c r="G13">
        <v>7</v>
      </c>
      <c r="H13" s="1">
        <v>8.3879999999999999</v>
      </c>
      <c r="J13" t="s">
        <v>65</v>
      </c>
      <c r="K13">
        <f>MAX(porosity_readings1119[x_i])</f>
        <v>11.765000000000001</v>
      </c>
      <c r="N13" s="1">
        <v>8</v>
      </c>
      <c r="O13" s="1">
        <v>150</v>
      </c>
      <c r="P13" s="1">
        <v>344</v>
      </c>
      <c r="Q13" s="1">
        <v>2.2930000000000001</v>
      </c>
      <c r="R13" s="1">
        <v>9.3680000000000003</v>
      </c>
      <c r="S13" s="1">
        <v>255</v>
      </c>
    </row>
    <row r="14" spans="2:19" x14ac:dyDescent="0.25">
      <c r="B14" t="s">
        <v>19</v>
      </c>
      <c r="C14" s="10">
        <f>APS_Al2O3_0100X!K10</f>
        <v>0.77470592640857283</v>
      </c>
      <c r="G14">
        <v>8</v>
      </c>
      <c r="H14" s="1">
        <v>9.3680000000000003</v>
      </c>
      <c r="N14" s="1">
        <v>9</v>
      </c>
      <c r="O14" s="1">
        <v>131</v>
      </c>
      <c r="P14" s="1">
        <v>235</v>
      </c>
      <c r="Q14" s="1">
        <v>1.794</v>
      </c>
      <c r="R14" s="1">
        <v>6.4</v>
      </c>
      <c r="S14" s="1">
        <v>255</v>
      </c>
    </row>
    <row r="15" spans="2:19" x14ac:dyDescent="0.25">
      <c r="B15" t="s">
        <v>27</v>
      </c>
      <c r="C15" s="14">
        <f>APS_Al2O3_0100X!K11</f>
        <v>9.6144080539575849E-2</v>
      </c>
      <c r="G15">
        <v>9</v>
      </c>
      <c r="H15" s="1">
        <v>6.4</v>
      </c>
      <c r="J15" t="s">
        <v>5</v>
      </c>
      <c r="K15"/>
      <c r="N15" s="1">
        <v>10</v>
      </c>
      <c r="O15" s="1">
        <v>112</v>
      </c>
      <c r="P15" s="1">
        <v>228</v>
      </c>
      <c r="Q15" s="1">
        <v>2.036</v>
      </c>
      <c r="R15" s="1">
        <v>6.2089999999999996</v>
      </c>
      <c r="S15" s="1">
        <v>255</v>
      </c>
    </row>
    <row r="16" spans="2:19" x14ac:dyDescent="0.25">
      <c r="B16" t="s">
        <v>23</v>
      </c>
      <c r="C16" s="2">
        <f>APS_Al2O3_0100X!K6</f>
        <v>25</v>
      </c>
      <c r="G16">
        <v>10</v>
      </c>
      <c r="H16" s="1">
        <v>6.2089999999999996</v>
      </c>
      <c r="J16" t="s">
        <v>3</v>
      </c>
      <c r="K16" t="s">
        <v>4</v>
      </c>
      <c r="N16" s="1">
        <v>11</v>
      </c>
      <c r="O16" s="1">
        <v>107</v>
      </c>
      <c r="P16" s="1">
        <v>245</v>
      </c>
      <c r="Q16" s="1">
        <v>2.29</v>
      </c>
      <c r="R16" s="1">
        <v>6.6719999999999997</v>
      </c>
      <c r="S16" s="1">
        <v>255</v>
      </c>
    </row>
    <row r="17" spans="2:19" x14ac:dyDescent="0.25">
      <c r="G17">
        <v>11</v>
      </c>
      <c r="H17" s="1">
        <v>6.6719999999999997</v>
      </c>
      <c r="J17">
        <v>20</v>
      </c>
      <c r="K17">
        <v>2.093</v>
      </c>
      <c r="N17" s="1">
        <v>12</v>
      </c>
      <c r="O17" s="1">
        <v>110</v>
      </c>
      <c r="P17" s="1">
        <v>243</v>
      </c>
      <c r="Q17" s="1">
        <v>2.2090000000000001</v>
      </c>
      <c r="R17" s="1">
        <v>6.6180000000000003</v>
      </c>
      <c r="S17" s="1">
        <v>255</v>
      </c>
    </row>
    <row r="18" spans="2:19" x14ac:dyDescent="0.25">
      <c r="B18" s="1" t="s">
        <v>66</v>
      </c>
      <c r="C18" s="3">
        <v>0</v>
      </c>
      <c r="G18">
        <v>12</v>
      </c>
      <c r="H18" s="1">
        <v>6.6180000000000003</v>
      </c>
      <c r="J18">
        <v>21</v>
      </c>
      <c r="K18">
        <v>2.0859999999999999</v>
      </c>
      <c r="N18" s="1">
        <v>13</v>
      </c>
      <c r="O18" s="1">
        <v>120</v>
      </c>
      <c r="P18" s="1">
        <v>232</v>
      </c>
      <c r="Q18" s="1">
        <v>1.9330000000000001</v>
      </c>
      <c r="R18" s="1">
        <v>6.3179999999999996</v>
      </c>
      <c r="S18" s="1">
        <v>255</v>
      </c>
    </row>
    <row r="19" spans="2:19" x14ac:dyDescent="0.25">
      <c r="B19" s="1" t="s">
        <v>53</v>
      </c>
      <c r="C19" s="2">
        <v>0</v>
      </c>
      <c r="G19">
        <v>13</v>
      </c>
      <c r="H19" s="1">
        <v>6.3179999999999996</v>
      </c>
      <c r="J19">
        <v>22</v>
      </c>
      <c r="K19">
        <v>2.08</v>
      </c>
      <c r="N19" s="1">
        <v>14</v>
      </c>
      <c r="O19" s="1">
        <v>114</v>
      </c>
      <c r="P19" s="1">
        <v>249</v>
      </c>
      <c r="Q19" s="1">
        <v>2.1840000000000002</v>
      </c>
      <c r="R19" s="1">
        <v>6.7809999999999997</v>
      </c>
      <c r="S19" s="1">
        <v>255</v>
      </c>
    </row>
    <row r="20" spans="2:19" x14ac:dyDescent="0.25">
      <c r="B20" s="1" t="s">
        <v>54</v>
      </c>
      <c r="C20" s="2">
        <v>80</v>
      </c>
      <c r="G20">
        <v>14</v>
      </c>
      <c r="H20" s="1">
        <v>6.7809999999999997</v>
      </c>
      <c r="J20">
        <v>23</v>
      </c>
      <c r="K20">
        <v>2.0739999999999998</v>
      </c>
      <c r="N20" s="1">
        <v>15</v>
      </c>
      <c r="O20" s="1">
        <v>136</v>
      </c>
      <c r="P20" s="1">
        <v>306</v>
      </c>
      <c r="Q20" s="1">
        <v>2.25</v>
      </c>
      <c r="R20" s="1">
        <v>8.3330000000000002</v>
      </c>
      <c r="S20" s="1">
        <v>255</v>
      </c>
    </row>
    <row r="21" spans="2:19" x14ac:dyDescent="0.25">
      <c r="G21">
        <v>15</v>
      </c>
      <c r="H21" s="1">
        <v>8.3330000000000002</v>
      </c>
      <c r="J21">
        <v>24</v>
      </c>
      <c r="K21">
        <v>2.069</v>
      </c>
      <c r="N21" s="1">
        <v>16</v>
      </c>
      <c r="O21" s="1">
        <v>173</v>
      </c>
      <c r="P21" s="1">
        <v>431</v>
      </c>
      <c r="Q21" s="1">
        <v>2.4910000000000001</v>
      </c>
      <c r="R21" s="1">
        <v>11.737</v>
      </c>
      <c r="S21" s="1">
        <v>255</v>
      </c>
    </row>
    <row r="22" spans="2:19" x14ac:dyDescent="0.25">
      <c r="G22">
        <v>16</v>
      </c>
      <c r="H22" s="1">
        <v>11.737</v>
      </c>
      <c r="J22">
        <v>25</v>
      </c>
      <c r="K22">
        <v>2.0640000000000001</v>
      </c>
      <c r="N22" s="1">
        <v>17</v>
      </c>
      <c r="O22" s="1">
        <v>154</v>
      </c>
      <c r="P22" s="1">
        <v>320</v>
      </c>
      <c r="Q22" s="1">
        <v>2.0779999999999998</v>
      </c>
      <c r="R22" s="1">
        <v>8.7149999999999999</v>
      </c>
      <c r="S22" s="1">
        <v>255</v>
      </c>
    </row>
    <row r="23" spans="2:19" x14ac:dyDescent="0.25">
      <c r="C23" s="4"/>
      <c r="G23">
        <v>17</v>
      </c>
      <c r="H23" s="1">
        <v>8.7149999999999999</v>
      </c>
      <c r="J23">
        <v>26</v>
      </c>
      <c r="K23">
        <v>2.06</v>
      </c>
      <c r="N23" s="1">
        <v>18</v>
      </c>
      <c r="O23" s="1">
        <v>131</v>
      </c>
      <c r="P23" s="1">
        <v>279</v>
      </c>
      <c r="Q23" s="1">
        <v>2.13</v>
      </c>
      <c r="R23" s="1">
        <v>7.5979999999999999</v>
      </c>
      <c r="S23" s="1">
        <v>255</v>
      </c>
    </row>
    <row r="24" spans="2:19" x14ac:dyDescent="0.25">
      <c r="G24">
        <v>18</v>
      </c>
      <c r="H24" s="1">
        <v>7.5979999999999999</v>
      </c>
      <c r="J24">
        <v>27</v>
      </c>
      <c r="K24">
        <v>2.056</v>
      </c>
      <c r="N24" s="1">
        <v>19</v>
      </c>
      <c r="O24" s="1">
        <v>96</v>
      </c>
      <c r="P24" s="1">
        <v>183</v>
      </c>
      <c r="Q24" s="1">
        <v>1.9059999999999999</v>
      </c>
      <c r="R24" s="1">
        <v>4.984</v>
      </c>
      <c r="S24" s="1">
        <v>255</v>
      </c>
    </row>
    <row r="25" spans="2:19" x14ac:dyDescent="0.25">
      <c r="G25">
        <v>19</v>
      </c>
      <c r="H25" s="1">
        <v>4.984</v>
      </c>
      <c r="J25">
        <v>28</v>
      </c>
      <c r="K25">
        <v>2.052</v>
      </c>
      <c r="N25" s="1">
        <v>20</v>
      </c>
      <c r="O25" s="1">
        <v>122</v>
      </c>
      <c r="P25" s="1">
        <v>283</v>
      </c>
      <c r="Q25" s="1">
        <v>2.3199999999999998</v>
      </c>
      <c r="R25" s="1">
        <v>7.7069999999999999</v>
      </c>
      <c r="S25" s="1">
        <v>255</v>
      </c>
    </row>
    <row r="26" spans="2:19" x14ac:dyDescent="0.25">
      <c r="G26">
        <v>20</v>
      </c>
      <c r="H26" s="1">
        <v>7.7069999999999999</v>
      </c>
      <c r="J26">
        <v>29</v>
      </c>
      <c r="K26">
        <v>2.048</v>
      </c>
      <c r="N26" s="1">
        <v>21</v>
      </c>
      <c r="O26" s="1">
        <v>160</v>
      </c>
      <c r="P26" s="1">
        <v>312</v>
      </c>
      <c r="Q26" s="1">
        <v>1.95</v>
      </c>
      <c r="R26" s="1">
        <v>8.4969999999999999</v>
      </c>
      <c r="S26" s="1">
        <v>255</v>
      </c>
    </row>
    <row r="27" spans="2:19" x14ac:dyDescent="0.25">
      <c r="G27">
        <v>21</v>
      </c>
      <c r="H27" s="1">
        <v>8.4969999999999999</v>
      </c>
      <c r="J27">
        <v>30</v>
      </c>
      <c r="K27">
        <v>2.0449999999999999</v>
      </c>
      <c r="N27" s="1">
        <v>22</v>
      </c>
      <c r="O27" s="1">
        <v>134</v>
      </c>
      <c r="P27" s="1">
        <v>284</v>
      </c>
      <c r="Q27" s="1">
        <v>2.1190000000000002</v>
      </c>
      <c r="R27" s="1">
        <v>7.734</v>
      </c>
      <c r="S27" s="1">
        <v>255</v>
      </c>
    </row>
    <row r="28" spans="2:19" x14ac:dyDescent="0.25">
      <c r="G28">
        <v>22</v>
      </c>
      <c r="H28" s="1">
        <v>7.734</v>
      </c>
      <c r="J28">
        <v>40</v>
      </c>
      <c r="K28">
        <v>2.02</v>
      </c>
      <c r="N28" s="1">
        <v>23</v>
      </c>
      <c r="O28" s="1">
        <v>170</v>
      </c>
      <c r="P28" s="1">
        <v>432</v>
      </c>
      <c r="Q28" s="1">
        <v>2.5409999999999999</v>
      </c>
      <c r="R28" s="1">
        <v>11.765000000000001</v>
      </c>
      <c r="S28" s="1">
        <v>255</v>
      </c>
    </row>
    <row r="29" spans="2:19" x14ac:dyDescent="0.25">
      <c r="G29">
        <v>23</v>
      </c>
      <c r="H29" s="1">
        <v>11.765000000000001</v>
      </c>
      <c r="J29">
        <v>60</v>
      </c>
      <c r="K29">
        <v>2</v>
      </c>
      <c r="N29" s="1">
        <v>24</v>
      </c>
      <c r="O29" s="1">
        <v>130</v>
      </c>
      <c r="P29" s="1">
        <v>252</v>
      </c>
      <c r="Q29" s="1">
        <v>1.9379999999999999</v>
      </c>
      <c r="R29" s="1">
        <v>6.8630000000000004</v>
      </c>
      <c r="S29" s="1">
        <v>255</v>
      </c>
    </row>
    <row r="30" spans="2:19" x14ac:dyDescent="0.25">
      <c r="G30">
        <v>24</v>
      </c>
      <c r="H30" s="1">
        <v>6.8630000000000004</v>
      </c>
      <c r="N30" s="1">
        <v>25</v>
      </c>
      <c r="O30" s="1">
        <v>124</v>
      </c>
      <c r="P30" s="1">
        <v>245</v>
      </c>
      <c r="Q30" s="1">
        <v>1.976</v>
      </c>
      <c r="R30" s="1">
        <v>6.6719999999999997</v>
      </c>
      <c r="S30" s="1">
        <v>255</v>
      </c>
    </row>
    <row r="31" spans="2:19" x14ac:dyDescent="0.25">
      <c r="G31">
        <v>25</v>
      </c>
      <c r="H31" s="1">
        <v>6.6719999999999997</v>
      </c>
    </row>
    <row r="32" spans="2:19" x14ac:dyDescent="0.25">
      <c r="G32"/>
    </row>
    <row r="33" spans="7:7" x14ac:dyDescent="0.25">
      <c r="G33"/>
    </row>
    <row r="34" spans="7:7" x14ac:dyDescent="0.25">
      <c r="G34"/>
    </row>
    <row r="35" spans="7:7" x14ac:dyDescent="0.25">
      <c r="G35"/>
    </row>
    <row r="36" spans="7:7" x14ac:dyDescent="0.25">
      <c r="G36"/>
    </row>
    <row r="37" spans="7:7" x14ac:dyDescent="0.25">
      <c r="G37"/>
    </row>
    <row r="38" spans="7:7" x14ac:dyDescent="0.25">
      <c r="G38"/>
    </row>
    <row r="39" spans="7:7" x14ac:dyDescent="0.25">
      <c r="G39"/>
    </row>
    <row r="40" spans="7:7" x14ac:dyDescent="0.25">
      <c r="G40"/>
    </row>
    <row r="41" spans="7:7" x14ac:dyDescent="0.25">
      <c r="G41"/>
    </row>
    <row r="42" spans="7:7" x14ac:dyDescent="0.25">
      <c r="G42"/>
    </row>
    <row r="43" spans="7:7" x14ac:dyDescent="0.25">
      <c r="G43"/>
    </row>
    <row r="44" spans="7:7" x14ac:dyDescent="0.25">
      <c r="G44"/>
    </row>
    <row r="45" spans="7:7" x14ac:dyDescent="0.25">
      <c r="G45"/>
    </row>
    <row r="46" spans="7:7" x14ac:dyDescent="0.25">
      <c r="G46"/>
    </row>
    <row r="47" spans="7:7" x14ac:dyDescent="0.25">
      <c r="G47"/>
    </row>
    <row r="48" spans="7:7" x14ac:dyDescent="0.25">
      <c r="G48"/>
    </row>
    <row r="49" spans="7:7" x14ac:dyDescent="0.25">
      <c r="G49"/>
    </row>
    <row r="50" spans="7:7" x14ac:dyDescent="0.25">
      <c r="G50"/>
    </row>
    <row r="51" spans="7:7" x14ac:dyDescent="0.25">
      <c r="G51"/>
    </row>
    <row r="52" spans="7:7" x14ac:dyDescent="0.25">
      <c r="G52"/>
    </row>
    <row r="53" spans="7:7" x14ac:dyDescent="0.25">
      <c r="G53"/>
    </row>
    <row r="54" spans="7:7" x14ac:dyDescent="0.25">
      <c r="G54"/>
    </row>
    <row r="55" spans="7:7" x14ac:dyDescent="0.25">
      <c r="G55"/>
    </row>
    <row r="56" spans="7:7" x14ac:dyDescent="0.25">
      <c r="G56"/>
    </row>
  </sheetData>
  <mergeCells count="1">
    <mergeCell ref="B1:C1"/>
  </mergeCells>
  <pageMargins left="0.7" right="0.7" top="0.75" bottom="0.75" header="0.3" footer="0.3"/>
  <pageSetup orientation="portrait" r:id="rId1"/>
  <drawing r:id="rId2"/>
  <tableParts count="2">
    <tablePart r:id="rId3"/>
    <tablePart r:id="rId4"/>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E2172-337C-8249-A7F9-62972933A373}">
  <sheetPr codeName="Sheet5">
    <tabColor theme="5" tint="0.39997558519241921"/>
  </sheetPr>
  <dimension ref="B1:S56"/>
  <sheetViews>
    <sheetView zoomScaleNormal="100" workbookViewId="0">
      <selection activeCell="C6" sqref="C6"/>
    </sheetView>
  </sheetViews>
  <sheetFormatPr defaultColWidth="9.140625" defaultRowHeight="15" x14ac:dyDescent="0.25"/>
  <cols>
    <col min="1" max="1" width="3" style="1" customWidth="1"/>
    <col min="2" max="2" width="46" style="1" customWidth="1"/>
    <col min="3" max="3" width="27.140625" style="1" customWidth="1"/>
    <col min="4" max="5" width="3" style="1" customWidth="1"/>
    <col min="6" max="6" width="9.140625" style="1"/>
    <col min="7" max="7" width="36.28515625" style="1" bestFit="1" customWidth="1"/>
    <col min="8" max="8" width="14.85546875" style="1" bestFit="1" customWidth="1"/>
    <col min="9" max="9" width="9.140625" style="1"/>
    <col min="10" max="10" width="23" style="1" customWidth="1"/>
    <col min="11" max="16384" width="9.140625" style="1"/>
  </cols>
  <sheetData>
    <row r="1" spans="2:19" ht="23.25" x14ac:dyDescent="0.25">
      <c r="B1" s="18" t="s">
        <v>28</v>
      </c>
      <c r="C1" s="18"/>
    </row>
    <row r="2" spans="2:19" ht="20.25" thickBot="1" x14ac:dyDescent="0.35">
      <c r="B2" s="8" t="s">
        <v>20</v>
      </c>
    </row>
    <row r="3" spans="2:19" ht="45.75" customHeight="1" thickTop="1" x14ac:dyDescent="0.25">
      <c r="B3" s="5" t="s">
        <v>22</v>
      </c>
    </row>
    <row r="4" spans="2:19" x14ac:dyDescent="0.25">
      <c r="B4" s="5"/>
    </row>
    <row r="5" spans="2:19" x14ac:dyDescent="0.25">
      <c r="B5" t="s">
        <v>16</v>
      </c>
      <c r="C5" s="12" t="s">
        <v>77</v>
      </c>
      <c r="G5" t="s">
        <v>14</v>
      </c>
      <c r="H5" t="s">
        <v>15</v>
      </c>
    </row>
    <row r="6" spans="2:19" x14ac:dyDescent="0.25">
      <c r="B6" t="s">
        <v>17</v>
      </c>
      <c r="C6" s="2" t="s">
        <v>21</v>
      </c>
      <c r="G6" t="s">
        <v>11</v>
      </c>
      <c r="H6" t="s">
        <v>13</v>
      </c>
      <c r="J6" t="s">
        <v>58</v>
      </c>
      <c r="K6">
        <f>MAX(G7:G46)</f>
        <v>40</v>
      </c>
      <c r="N6" s="1">
        <v>1</v>
      </c>
      <c r="O6" s="1">
        <v>30</v>
      </c>
      <c r="P6" s="1">
        <v>3599</v>
      </c>
      <c r="Q6" s="1">
        <v>119.967</v>
      </c>
      <c r="R6" s="1">
        <v>12.784000000000001</v>
      </c>
      <c r="S6" s="1">
        <v>255</v>
      </c>
    </row>
    <row r="7" spans="2:19" x14ac:dyDescent="0.25">
      <c r="B7" t="s">
        <v>18</v>
      </c>
      <c r="C7" s="6">
        <f ca="1">TODAY()</f>
        <v>45321</v>
      </c>
      <c r="G7">
        <v>1</v>
      </c>
      <c r="H7" s="1">
        <v>4.96</v>
      </c>
      <c r="J7" t="s">
        <v>59</v>
      </c>
      <c r="K7">
        <f>VLOOKUP(K6,confidence_95_multiplier12[#All],2,FALSE)</f>
        <v>2.02</v>
      </c>
      <c r="N7" s="1">
        <v>2</v>
      </c>
      <c r="O7" s="1">
        <v>23</v>
      </c>
      <c r="P7" s="1">
        <v>3271</v>
      </c>
      <c r="Q7" s="1">
        <v>142.21700000000001</v>
      </c>
      <c r="R7" s="1">
        <v>11.619</v>
      </c>
      <c r="S7" s="1">
        <v>255</v>
      </c>
    </row>
    <row r="8" spans="2:19" x14ac:dyDescent="0.25">
      <c r="G8">
        <v>2</v>
      </c>
      <c r="H8" s="1">
        <v>5.6909999999999998</v>
      </c>
      <c r="J8" t="s">
        <v>60</v>
      </c>
      <c r="K8">
        <f>AVERAGE(porosity_readings11[x_i])</f>
        <v>8.5308499999999992</v>
      </c>
      <c r="N8" s="1">
        <v>3</v>
      </c>
      <c r="O8" s="1">
        <v>27</v>
      </c>
      <c r="P8" s="1">
        <v>2634</v>
      </c>
      <c r="Q8" s="1">
        <v>97.555999999999997</v>
      </c>
      <c r="R8" s="1">
        <v>9.3559999999999999</v>
      </c>
      <c r="S8" s="1">
        <v>255</v>
      </c>
    </row>
    <row r="9" spans="2:19" x14ac:dyDescent="0.25">
      <c r="B9" t="s">
        <v>55</v>
      </c>
      <c r="C9" s="3">
        <v>1000</v>
      </c>
      <c r="G9">
        <v>3</v>
      </c>
      <c r="H9" s="1">
        <v>5.7830000000000004</v>
      </c>
      <c r="J9" t="s">
        <v>61</v>
      </c>
      <c r="K9">
        <f>_xlfn.STDEV.S(porosity_readings11[x_i])</f>
        <v>1.2603921154209896</v>
      </c>
      <c r="N9" s="1">
        <v>4</v>
      </c>
      <c r="O9" s="1">
        <v>22</v>
      </c>
      <c r="P9" s="1">
        <v>2232</v>
      </c>
      <c r="Q9" s="1">
        <v>101.455</v>
      </c>
      <c r="R9" s="1">
        <v>7.9279999999999999</v>
      </c>
      <c r="S9" s="1">
        <v>255</v>
      </c>
    </row>
    <row r="10" spans="2:19" x14ac:dyDescent="0.25">
      <c r="B10" t="s">
        <v>26</v>
      </c>
      <c r="C10" s="11">
        <f>APS_Al2O3_0250X!K8</f>
        <v>8.5308499999999992</v>
      </c>
      <c r="G10">
        <v>4</v>
      </c>
      <c r="H10" s="1">
        <v>6.298</v>
      </c>
      <c r="J10" t="s">
        <v>62</v>
      </c>
      <c r="K10" s="7">
        <f>K9*K7/(SQRT(K6))</f>
        <v>0.40255669279446427</v>
      </c>
      <c r="N10" s="1">
        <v>5</v>
      </c>
      <c r="O10" s="1">
        <v>21</v>
      </c>
      <c r="P10" s="1">
        <v>2622</v>
      </c>
      <c r="Q10" s="1">
        <v>124.857</v>
      </c>
      <c r="R10" s="1">
        <v>9.3140000000000001</v>
      </c>
      <c r="S10" s="1">
        <v>255</v>
      </c>
    </row>
    <row r="11" spans="2:19" x14ac:dyDescent="0.25">
      <c r="B11" t="s">
        <v>25</v>
      </c>
      <c r="C11" s="9">
        <f>APS_Al2O3_0250X!K12</f>
        <v>4.96</v>
      </c>
      <c r="G11">
        <v>5</v>
      </c>
      <c r="H11" s="1">
        <v>6.53</v>
      </c>
      <c r="J11" t="s">
        <v>63</v>
      </c>
      <c r="K11" s="7">
        <f>K10/K8</f>
        <v>4.7188344982559104E-2</v>
      </c>
      <c r="N11" s="1">
        <v>6</v>
      </c>
      <c r="O11" s="1">
        <v>22</v>
      </c>
      <c r="P11" s="1">
        <v>1547</v>
      </c>
      <c r="Q11" s="1">
        <v>70.317999999999998</v>
      </c>
      <c r="R11" s="1">
        <v>5.4950000000000001</v>
      </c>
      <c r="S11" s="1">
        <v>255</v>
      </c>
    </row>
    <row r="12" spans="2:19" x14ac:dyDescent="0.25">
      <c r="B12" t="s">
        <v>24</v>
      </c>
      <c r="C12" s="9">
        <f>APS_Al2O3_0250X!K13</f>
        <v>10.222</v>
      </c>
      <c r="G12">
        <v>6</v>
      </c>
      <c r="H12" s="1">
        <v>7.0960000000000001</v>
      </c>
      <c r="J12" t="s">
        <v>64</v>
      </c>
      <c r="K12">
        <f>MIN(porosity_readings11[x_i])</f>
        <v>4.96</v>
      </c>
      <c r="N12" s="1">
        <v>7</v>
      </c>
      <c r="O12" s="1">
        <v>19</v>
      </c>
      <c r="P12" s="1">
        <v>2161</v>
      </c>
      <c r="Q12" s="1">
        <v>113.73699999999999</v>
      </c>
      <c r="R12" s="1">
        <v>7.6760000000000002</v>
      </c>
      <c r="S12" s="1">
        <v>255</v>
      </c>
    </row>
    <row r="13" spans="2:19" x14ac:dyDescent="0.25">
      <c r="B13" t="s">
        <v>12</v>
      </c>
      <c r="C13" s="11">
        <f>APS_Al2O3_0250X!K9</f>
        <v>1.2603921154209896</v>
      </c>
      <c r="G13">
        <v>7</v>
      </c>
      <c r="H13" s="1">
        <v>7.2160000000000002</v>
      </c>
      <c r="J13" t="s">
        <v>65</v>
      </c>
      <c r="K13">
        <f>MAX(porosity_readings11[x_i])</f>
        <v>10.222</v>
      </c>
      <c r="N13" s="1">
        <v>8</v>
      </c>
      <c r="O13" s="1">
        <v>28</v>
      </c>
      <c r="P13" s="1">
        <v>3146</v>
      </c>
      <c r="Q13" s="1">
        <v>112.357</v>
      </c>
      <c r="R13" s="1">
        <v>11.175000000000001</v>
      </c>
      <c r="S13" s="1">
        <v>255</v>
      </c>
    </row>
    <row r="14" spans="2:19" x14ac:dyDescent="0.25">
      <c r="B14" t="s">
        <v>19</v>
      </c>
      <c r="C14" s="10">
        <f>APS_Al2O3_0250X!K10</f>
        <v>0.40255669279446427</v>
      </c>
      <c r="G14">
        <v>8</v>
      </c>
      <c r="H14" s="1">
        <v>7.91</v>
      </c>
      <c r="N14" s="1">
        <v>9</v>
      </c>
      <c r="O14" s="1">
        <v>33</v>
      </c>
      <c r="P14" s="1">
        <v>4009</v>
      </c>
      <c r="Q14" s="1">
        <v>121.485</v>
      </c>
      <c r="R14" s="1">
        <v>14.241</v>
      </c>
      <c r="S14" s="1">
        <v>255</v>
      </c>
    </row>
    <row r="15" spans="2:19" x14ac:dyDescent="0.25">
      <c r="B15" t="s">
        <v>27</v>
      </c>
      <c r="C15" s="14">
        <f>APS_Al2O3_0250X!K11</f>
        <v>4.7188344982559104E-2</v>
      </c>
      <c r="G15">
        <v>9</v>
      </c>
      <c r="H15" s="1">
        <v>7.923</v>
      </c>
      <c r="J15" t="s">
        <v>5</v>
      </c>
      <c r="K15"/>
      <c r="N15" s="1">
        <v>10</v>
      </c>
      <c r="O15" s="1">
        <v>19</v>
      </c>
      <c r="P15" s="1">
        <v>3396</v>
      </c>
      <c r="Q15" s="1">
        <v>178.73699999999999</v>
      </c>
      <c r="R15" s="1">
        <v>12.063000000000001</v>
      </c>
      <c r="S15" s="1">
        <v>255</v>
      </c>
    </row>
    <row r="16" spans="2:19" x14ac:dyDescent="0.25">
      <c r="B16" t="s">
        <v>23</v>
      </c>
      <c r="C16" s="2">
        <f>APS_Al2O3_0250X!K6</f>
        <v>40</v>
      </c>
      <c r="G16">
        <v>10</v>
      </c>
      <c r="H16" s="1">
        <v>8.234</v>
      </c>
      <c r="J16" t="s">
        <v>3</v>
      </c>
      <c r="K16" t="s">
        <v>4</v>
      </c>
      <c r="N16" s="1">
        <v>11</v>
      </c>
      <c r="O16" s="1">
        <v>26</v>
      </c>
      <c r="P16" s="1">
        <v>3909</v>
      </c>
      <c r="Q16" s="1">
        <v>150.346</v>
      </c>
      <c r="R16" s="1">
        <v>13.885</v>
      </c>
      <c r="S16" s="1">
        <v>255</v>
      </c>
    </row>
    <row r="17" spans="2:19" x14ac:dyDescent="0.25">
      <c r="G17">
        <v>11</v>
      </c>
      <c r="H17" s="1">
        <v>8.2850000000000001</v>
      </c>
      <c r="J17">
        <v>20</v>
      </c>
      <c r="K17">
        <v>2.093</v>
      </c>
      <c r="N17" s="1">
        <v>12</v>
      </c>
      <c r="O17" s="1">
        <v>19</v>
      </c>
      <c r="P17" s="1">
        <v>2833</v>
      </c>
      <c r="Q17" s="1">
        <v>149.10499999999999</v>
      </c>
      <c r="R17" s="1">
        <v>10.063000000000001</v>
      </c>
      <c r="S17" s="1">
        <v>255</v>
      </c>
    </row>
    <row r="18" spans="2:19" x14ac:dyDescent="0.25">
      <c r="B18" s="1" t="s">
        <v>66</v>
      </c>
      <c r="C18" s="3">
        <v>0</v>
      </c>
      <c r="G18">
        <v>12</v>
      </c>
      <c r="H18" s="1">
        <v>8.375</v>
      </c>
      <c r="J18">
        <v>21</v>
      </c>
      <c r="K18">
        <v>2.0859999999999999</v>
      </c>
      <c r="N18" s="1">
        <v>13</v>
      </c>
      <c r="O18" s="1">
        <v>25</v>
      </c>
      <c r="P18" s="1">
        <v>3046</v>
      </c>
      <c r="Q18" s="1">
        <v>121.84</v>
      </c>
      <c r="R18" s="1">
        <v>10.82</v>
      </c>
      <c r="S18" s="1">
        <v>255</v>
      </c>
    </row>
    <row r="19" spans="2:19" x14ac:dyDescent="0.25">
      <c r="B19" s="1" t="s">
        <v>53</v>
      </c>
      <c r="C19" s="2">
        <v>0</v>
      </c>
      <c r="G19">
        <v>13</v>
      </c>
      <c r="H19" s="1">
        <v>8.39</v>
      </c>
      <c r="J19">
        <v>22</v>
      </c>
      <c r="K19">
        <v>2.08</v>
      </c>
      <c r="N19" s="1">
        <v>14</v>
      </c>
      <c r="O19" s="1">
        <v>21</v>
      </c>
      <c r="P19" s="1">
        <v>1520</v>
      </c>
      <c r="Q19" s="1">
        <v>72.381</v>
      </c>
      <c r="R19" s="1">
        <v>5.399</v>
      </c>
      <c r="S19" s="1">
        <v>255</v>
      </c>
    </row>
    <row r="20" spans="2:19" x14ac:dyDescent="0.25">
      <c r="B20" s="1" t="s">
        <v>54</v>
      </c>
      <c r="C20" s="2">
        <v>78</v>
      </c>
      <c r="G20">
        <v>14</v>
      </c>
      <c r="H20" s="1">
        <v>8.4</v>
      </c>
      <c r="J20">
        <v>23</v>
      </c>
      <c r="K20">
        <v>2.0739999999999998</v>
      </c>
      <c r="N20" s="1">
        <v>15</v>
      </c>
      <c r="O20" s="1">
        <v>32</v>
      </c>
      <c r="P20" s="1">
        <v>2982</v>
      </c>
      <c r="Q20" s="1">
        <v>93.188000000000002</v>
      </c>
      <c r="R20" s="1">
        <v>10.592000000000001</v>
      </c>
      <c r="S20" s="1">
        <v>255</v>
      </c>
    </row>
    <row r="21" spans="2:19" x14ac:dyDescent="0.25">
      <c r="G21">
        <v>15</v>
      </c>
      <c r="H21" s="1">
        <v>8.4779999999999998</v>
      </c>
      <c r="J21">
        <v>24</v>
      </c>
      <c r="K21">
        <v>2.069</v>
      </c>
      <c r="N21" s="1">
        <v>16</v>
      </c>
      <c r="O21" s="1">
        <v>21</v>
      </c>
      <c r="P21" s="1">
        <v>2574</v>
      </c>
      <c r="Q21" s="1">
        <v>122.571</v>
      </c>
      <c r="R21" s="1">
        <v>9.1430000000000007</v>
      </c>
      <c r="S21" s="1">
        <v>255</v>
      </c>
    </row>
    <row r="22" spans="2:19" x14ac:dyDescent="0.25">
      <c r="G22">
        <v>16</v>
      </c>
      <c r="H22" s="1">
        <v>8.5500000000000007</v>
      </c>
      <c r="J22">
        <v>25</v>
      </c>
      <c r="K22">
        <v>2.0640000000000001</v>
      </c>
      <c r="N22" s="1">
        <v>17</v>
      </c>
      <c r="O22" s="1">
        <v>20</v>
      </c>
      <c r="P22" s="1">
        <v>2207</v>
      </c>
      <c r="Q22" s="1">
        <v>110.35</v>
      </c>
      <c r="R22" s="1">
        <v>7.84</v>
      </c>
      <c r="S22" s="1">
        <v>255</v>
      </c>
    </row>
    <row r="23" spans="2:19" x14ac:dyDescent="0.25">
      <c r="C23" s="4"/>
      <c r="G23">
        <v>17</v>
      </c>
      <c r="H23" s="1">
        <v>8.5660000000000007</v>
      </c>
      <c r="J23">
        <v>26</v>
      </c>
      <c r="K23">
        <v>2.06</v>
      </c>
      <c r="N23" s="1">
        <v>18</v>
      </c>
      <c r="O23" s="1">
        <v>24</v>
      </c>
      <c r="P23" s="1">
        <v>2989</v>
      </c>
      <c r="Q23" s="1">
        <v>124.542</v>
      </c>
      <c r="R23" s="1">
        <v>10.617000000000001</v>
      </c>
      <c r="S23" s="1">
        <v>255</v>
      </c>
    </row>
    <row r="24" spans="2:19" x14ac:dyDescent="0.25">
      <c r="G24">
        <v>18</v>
      </c>
      <c r="H24" s="1">
        <v>8.6739999999999995</v>
      </c>
      <c r="J24">
        <v>27</v>
      </c>
      <c r="K24">
        <v>2.056</v>
      </c>
      <c r="N24" s="1">
        <v>19</v>
      </c>
      <c r="O24" s="1">
        <v>22</v>
      </c>
      <c r="P24" s="1">
        <v>1780</v>
      </c>
      <c r="Q24" s="1">
        <v>80.909000000000006</v>
      </c>
      <c r="R24" s="1">
        <v>6.3230000000000004</v>
      </c>
      <c r="S24" s="1">
        <v>255</v>
      </c>
    </row>
    <row r="25" spans="2:19" x14ac:dyDescent="0.25">
      <c r="G25">
        <v>19</v>
      </c>
      <c r="H25" s="1">
        <v>8.6790000000000003</v>
      </c>
      <c r="J25">
        <v>28</v>
      </c>
      <c r="K25">
        <v>2.052</v>
      </c>
      <c r="N25" s="1">
        <v>20</v>
      </c>
      <c r="O25" s="1">
        <v>26</v>
      </c>
      <c r="P25" s="1">
        <v>4521</v>
      </c>
      <c r="Q25" s="1">
        <v>173.88499999999999</v>
      </c>
      <c r="R25" s="1">
        <v>16.059000000000001</v>
      </c>
      <c r="S25" s="1">
        <v>255</v>
      </c>
    </row>
    <row r="26" spans="2:19" x14ac:dyDescent="0.25">
      <c r="G26">
        <v>20</v>
      </c>
      <c r="H26" s="1">
        <v>8.7650000000000006</v>
      </c>
      <c r="J26">
        <v>29</v>
      </c>
      <c r="K26">
        <v>2.048</v>
      </c>
      <c r="N26" s="1">
        <v>21</v>
      </c>
      <c r="O26" s="1">
        <v>31</v>
      </c>
      <c r="P26" s="1">
        <v>2920</v>
      </c>
      <c r="Q26" s="1">
        <v>94.194000000000003</v>
      </c>
      <c r="R26" s="1">
        <v>10.372</v>
      </c>
      <c r="S26" s="1">
        <v>255</v>
      </c>
    </row>
    <row r="27" spans="2:19" x14ac:dyDescent="0.25">
      <c r="G27">
        <v>21</v>
      </c>
      <c r="H27" s="1">
        <v>8.7650000000000006</v>
      </c>
      <c r="J27">
        <v>30</v>
      </c>
      <c r="K27">
        <v>2.0449999999999999</v>
      </c>
      <c r="N27" s="1">
        <v>22</v>
      </c>
      <c r="O27" s="1">
        <v>19</v>
      </c>
      <c r="P27" s="1">
        <v>2171</v>
      </c>
      <c r="Q27" s="1">
        <v>114.26300000000001</v>
      </c>
      <c r="R27" s="1">
        <v>7.7119999999999997</v>
      </c>
      <c r="S27" s="1">
        <v>255</v>
      </c>
    </row>
    <row r="28" spans="2:19" x14ac:dyDescent="0.25">
      <c r="G28">
        <v>22</v>
      </c>
      <c r="H28" s="1">
        <v>8.84</v>
      </c>
      <c r="J28">
        <v>40</v>
      </c>
      <c r="K28">
        <v>2.02</v>
      </c>
      <c r="N28" s="1">
        <v>23</v>
      </c>
      <c r="O28" s="1">
        <v>36</v>
      </c>
      <c r="P28" s="1">
        <v>2438</v>
      </c>
      <c r="Q28" s="1">
        <v>67.721999999999994</v>
      </c>
      <c r="R28" s="1">
        <v>8.66</v>
      </c>
      <c r="S28" s="1">
        <v>255</v>
      </c>
    </row>
    <row r="29" spans="2:19" x14ac:dyDescent="0.25">
      <c r="G29">
        <v>23</v>
      </c>
      <c r="H29" s="1">
        <v>8.8640000000000008</v>
      </c>
      <c r="J29">
        <v>60</v>
      </c>
      <c r="K29">
        <v>2</v>
      </c>
      <c r="N29" s="1">
        <v>24</v>
      </c>
      <c r="O29" s="1">
        <v>28</v>
      </c>
      <c r="P29" s="1">
        <v>1846</v>
      </c>
      <c r="Q29" s="1">
        <v>65.929000000000002</v>
      </c>
      <c r="R29" s="1">
        <v>6.5570000000000004</v>
      </c>
      <c r="S29" s="1">
        <v>255</v>
      </c>
    </row>
    <row r="30" spans="2:19" x14ac:dyDescent="0.25">
      <c r="G30">
        <v>24</v>
      </c>
      <c r="H30" s="1">
        <v>8.907</v>
      </c>
      <c r="N30" s="1">
        <v>25</v>
      </c>
      <c r="O30" s="1">
        <v>26</v>
      </c>
      <c r="P30" s="1">
        <v>2683</v>
      </c>
      <c r="Q30" s="1">
        <v>103.19199999999999</v>
      </c>
      <c r="R30" s="1">
        <v>9.5299999999999994</v>
      </c>
      <c r="S30" s="1">
        <v>255</v>
      </c>
    </row>
    <row r="31" spans="2:19" x14ac:dyDescent="0.25">
      <c r="G31">
        <v>25</v>
      </c>
      <c r="H31" s="1">
        <v>8.9600000000000009</v>
      </c>
      <c r="N31" s="1">
        <v>1</v>
      </c>
      <c r="O31" s="1">
        <v>30</v>
      </c>
      <c r="P31" s="1">
        <v>3599</v>
      </c>
      <c r="Q31" s="1">
        <v>119.967</v>
      </c>
      <c r="R31" s="1">
        <v>12.784000000000001</v>
      </c>
      <c r="S31" s="1">
        <v>255</v>
      </c>
    </row>
    <row r="32" spans="2:19" x14ac:dyDescent="0.25">
      <c r="G32">
        <v>26</v>
      </c>
      <c r="H32" s="1">
        <v>8.9979999999999993</v>
      </c>
      <c r="N32" s="1">
        <v>2</v>
      </c>
      <c r="O32" s="1">
        <v>23</v>
      </c>
      <c r="P32" s="1">
        <v>3271</v>
      </c>
      <c r="Q32" s="1">
        <v>142.21700000000001</v>
      </c>
      <c r="R32" s="1">
        <v>11.619</v>
      </c>
      <c r="S32" s="1">
        <v>255</v>
      </c>
    </row>
    <row r="33" spans="7:19" x14ac:dyDescent="0.25">
      <c r="G33">
        <v>27</v>
      </c>
      <c r="H33" s="1">
        <v>9.1289999999999996</v>
      </c>
      <c r="N33" s="1">
        <v>3</v>
      </c>
      <c r="O33" s="1">
        <v>27</v>
      </c>
      <c r="P33" s="1">
        <v>2634</v>
      </c>
      <c r="Q33" s="1">
        <v>97.555999999999997</v>
      </c>
      <c r="R33" s="1">
        <v>9.3559999999999999</v>
      </c>
      <c r="S33" s="1">
        <v>255</v>
      </c>
    </row>
    <row r="34" spans="7:19" x14ac:dyDescent="0.25">
      <c r="G34">
        <v>28</v>
      </c>
      <c r="H34" s="1">
        <v>9.2219999999999995</v>
      </c>
      <c r="N34" s="1">
        <v>4</v>
      </c>
      <c r="O34" s="1">
        <v>22</v>
      </c>
      <c r="P34" s="1">
        <v>2232</v>
      </c>
      <c r="Q34" s="1">
        <v>101.455</v>
      </c>
      <c r="R34" s="1">
        <v>7.9279999999999999</v>
      </c>
      <c r="S34" s="1">
        <v>255</v>
      </c>
    </row>
    <row r="35" spans="7:19" x14ac:dyDescent="0.25">
      <c r="G35">
        <v>29</v>
      </c>
      <c r="H35" s="1">
        <v>9.298</v>
      </c>
      <c r="N35" s="1">
        <v>5</v>
      </c>
      <c r="O35" s="1">
        <v>21</v>
      </c>
      <c r="P35" s="1">
        <v>2622</v>
      </c>
      <c r="Q35" s="1">
        <v>124.857</v>
      </c>
      <c r="R35" s="1">
        <v>9.3140000000000001</v>
      </c>
      <c r="S35" s="1">
        <v>255</v>
      </c>
    </row>
    <row r="36" spans="7:19" x14ac:dyDescent="0.25">
      <c r="G36">
        <v>30</v>
      </c>
      <c r="H36" s="1">
        <v>9.3460000000000001</v>
      </c>
      <c r="N36" s="1">
        <v>6</v>
      </c>
      <c r="O36" s="1">
        <v>22</v>
      </c>
      <c r="P36" s="1">
        <v>1547</v>
      </c>
      <c r="Q36" s="1">
        <v>70.317999999999998</v>
      </c>
      <c r="R36" s="1">
        <v>5.4950000000000001</v>
      </c>
      <c r="S36" s="1">
        <v>255</v>
      </c>
    </row>
    <row r="37" spans="7:19" x14ac:dyDescent="0.25">
      <c r="G37">
        <v>31</v>
      </c>
      <c r="H37" s="1">
        <v>9.4339999999999993</v>
      </c>
      <c r="N37" s="1">
        <v>7</v>
      </c>
      <c r="O37" s="1">
        <v>19</v>
      </c>
      <c r="P37" s="1">
        <v>2161</v>
      </c>
      <c r="Q37" s="1">
        <v>113.73699999999999</v>
      </c>
      <c r="R37" s="1">
        <v>7.6760000000000002</v>
      </c>
      <c r="S37" s="1">
        <v>255</v>
      </c>
    </row>
    <row r="38" spans="7:19" x14ac:dyDescent="0.25">
      <c r="G38">
        <v>32</v>
      </c>
      <c r="H38" s="1">
        <v>9.58</v>
      </c>
      <c r="N38" s="1">
        <v>8</v>
      </c>
      <c r="O38" s="1">
        <v>28</v>
      </c>
      <c r="P38" s="1">
        <v>3146</v>
      </c>
      <c r="Q38" s="1">
        <v>112.357</v>
      </c>
      <c r="R38" s="1">
        <v>11.175000000000001</v>
      </c>
      <c r="S38" s="1">
        <v>255</v>
      </c>
    </row>
    <row r="39" spans="7:19" x14ac:dyDescent="0.25">
      <c r="G39">
        <v>33</v>
      </c>
      <c r="H39" s="1">
        <v>9.6349999999999998</v>
      </c>
      <c r="N39" s="1">
        <v>9</v>
      </c>
      <c r="O39" s="1">
        <v>33</v>
      </c>
      <c r="P39" s="1">
        <v>4009</v>
      </c>
      <c r="Q39" s="1">
        <v>121.485</v>
      </c>
      <c r="R39" s="1">
        <v>14.241</v>
      </c>
      <c r="S39" s="1">
        <v>255</v>
      </c>
    </row>
    <row r="40" spans="7:19" x14ac:dyDescent="0.25">
      <c r="G40">
        <v>34</v>
      </c>
      <c r="H40" s="1">
        <v>9.7370000000000001</v>
      </c>
      <c r="N40" s="1">
        <v>10</v>
      </c>
      <c r="O40" s="1">
        <v>19</v>
      </c>
      <c r="P40" s="1">
        <v>3396</v>
      </c>
      <c r="Q40" s="1">
        <v>178.73699999999999</v>
      </c>
      <c r="R40" s="1">
        <v>12.063000000000001</v>
      </c>
      <c r="S40" s="1">
        <v>255</v>
      </c>
    </row>
    <row r="41" spans="7:19" x14ac:dyDescent="0.25">
      <c r="G41">
        <v>35</v>
      </c>
      <c r="H41" s="1">
        <v>9.7870000000000008</v>
      </c>
      <c r="N41" s="1">
        <v>11</v>
      </c>
      <c r="O41" s="1">
        <v>26</v>
      </c>
      <c r="P41" s="1">
        <v>3909</v>
      </c>
      <c r="Q41" s="1">
        <v>150.346</v>
      </c>
      <c r="R41" s="1">
        <v>13.885</v>
      </c>
      <c r="S41" s="1">
        <v>255</v>
      </c>
    </row>
    <row r="42" spans="7:19" x14ac:dyDescent="0.25">
      <c r="G42">
        <v>36</v>
      </c>
      <c r="H42" s="1">
        <v>9.8369999999999997</v>
      </c>
      <c r="N42" s="1">
        <v>12</v>
      </c>
      <c r="O42" s="1">
        <v>19</v>
      </c>
      <c r="P42" s="1">
        <v>2833</v>
      </c>
      <c r="Q42" s="1">
        <v>149.10499999999999</v>
      </c>
      <c r="R42" s="1">
        <v>10.063000000000001</v>
      </c>
      <c r="S42" s="1">
        <v>255</v>
      </c>
    </row>
    <row r="43" spans="7:19" x14ac:dyDescent="0.25">
      <c r="G43">
        <v>37</v>
      </c>
      <c r="H43" s="1">
        <v>9.86</v>
      </c>
      <c r="N43" s="1">
        <v>13</v>
      </c>
      <c r="O43" s="1">
        <v>25</v>
      </c>
      <c r="P43" s="1">
        <v>3046</v>
      </c>
      <c r="Q43" s="1">
        <v>121.84</v>
      </c>
      <c r="R43" s="1">
        <v>10.82</v>
      </c>
      <c r="S43" s="1">
        <v>255</v>
      </c>
    </row>
    <row r="44" spans="7:19" x14ac:dyDescent="0.25">
      <c r="G44">
        <v>38</v>
      </c>
      <c r="H44" s="1">
        <v>9.9570000000000007</v>
      </c>
      <c r="N44" s="1">
        <v>14</v>
      </c>
      <c r="O44" s="1">
        <v>21</v>
      </c>
      <c r="P44" s="1">
        <v>1520</v>
      </c>
      <c r="Q44" s="1">
        <v>72.381</v>
      </c>
      <c r="R44" s="1">
        <v>5.399</v>
      </c>
      <c r="S44" s="1">
        <v>255</v>
      </c>
    </row>
    <row r="45" spans="7:19" x14ac:dyDescent="0.25">
      <c r="G45">
        <v>39</v>
      </c>
      <c r="H45" s="1">
        <v>10.053000000000001</v>
      </c>
      <c r="N45" s="1">
        <v>15</v>
      </c>
      <c r="O45" s="1">
        <v>32</v>
      </c>
      <c r="P45" s="1">
        <v>2982</v>
      </c>
      <c r="Q45" s="1">
        <v>93.188000000000002</v>
      </c>
      <c r="R45" s="1">
        <v>10.592000000000001</v>
      </c>
      <c r="S45" s="1">
        <v>255</v>
      </c>
    </row>
    <row r="46" spans="7:19" x14ac:dyDescent="0.25">
      <c r="G46">
        <v>40</v>
      </c>
      <c r="H46" s="1">
        <v>10.222</v>
      </c>
      <c r="N46" s="1">
        <v>16</v>
      </c>
      <c r="O46" s="1">
        <v>21</v>
      </c>
      <c r="P46" s="1">
        <v>2574</v>
      </c>
      <c r="Q46" s="1">
        <v>122.571</v>
      </c>
      <c r="R46" s="1">
        <v>9.1430000000000007</v>
      </c>
      <c r="S46" s="1">
        <v>255</v>
      </c>
    </row>
    <row r="47" spans="7:19" x14ac:dyDescent="0.25">
      <c r="G47"/>
      <c r="N47" s="1">
        <v>17</v>
      </c>
      <c r="O47" s="1">
        <v>20</v>
      </c>
      <c r="P47" s="1">
        <v>2207</v>
      </c>
      <c r="Q47" s="1">
        <v>110.35</v>
      </c>
      <c r="R47" s="1">
        <v>7.84</v>
      </c>
      <c r="S47" s="1">
        <v>255</v>
      </c>
    </row>
    <row r="48" spans="7:19" x14ac:dyDescent="0.25">
      <c r="G48"/>
      <c r="N48" s="1">
        <v>18</v>
      </c>
      <c r="O48" s="1">
        <v>24</v>
      </c>
      <c r="P48" s="1">
        <v>2989</v>
      </c>
      <c r="Q48" s="1">
        <v>124.542</v>
      </c>
      <c r="R48" s="1">
        <v>10.617000000000001</v>
      </c>
      <c r="S48" s="1">
        <v>255</v>
      </c>
    </row>
    <row r="49" spans="7:19" x14ac:dyDescent="0.25">
      <c r="G49"/>
      <c r="N49" s="1">
        <v>19</v>
      </c>
      <c r="O49" s="1">
        <v>22</v>
      </c>
      <c r="P49" s="1">
        <v>1780</v>
      </c>
      <c r="Q49" s="1">
        <v>80.909000000000006</v>
      </c>
      <c r="R49" s="1">
        <v>6.3230000000000004</v>
      </c>
      <c r="S49" s="1">
        <v>255</v>
      </c>
    </row>
    <row r="50" spans="7:19" x14ac:dyDescent="0.25">
      <c r="G50"/>
      <c r="N50" s="1">
        <v>20</v>
      </c>
      <c r="O50" s="1">
        <v>26</v>
      </c>
      <c r="P50" s="1">
        <v>4521</v>
      </c>
      <c r="Q50" s="1">
        <v>173.88499999999999</v>
      </c>
      <c r="R50" s="1">
        <v>16.059000000000001</v>
      </c>
      <c r="S50" s="1">
        <v>255</v>
      </c>
    </row>
    <row r="51" spans="7:19" x14ac:dyDescent="0.25">
      <c r="G51"/>
      <c r="N51" s="1">
        <v>21</v>
      </c>
      <c r="O51" s="1">
        <v>31</v>
      </c>
      <c r="P51" s="1">
        <v>2920</v>
      </c>
      <c r="Q51" s="1">
        <v>94.194000000000003</v>
      </c>
      <c r="R51" s="1">
        <v>10.372</v>
      </c>
      <c r="S51" s="1">
        <v>255</v>
      </c>
    </row>
    <row r="52" spans="7:19" x14ac:dyDescent="0.25">
      <c r="G52"/>
      <c r="N52" s="1">
        <v>22</v>
      </c>
      <c r="O52" s="1">
        <v>19</v>
      </c>
      <c r="P52" s="1">
        <v>2171</v>
      </c>
      <c r="Q52" s="1">
        <v>114.26300000000001</v>
      </c>
      <c r="R52" s="1">
        <v>7.7119999999999997</v>
      </c>
      <c r="S52" s="1">
        <v>255</v>
      </c>
    </row>
    <row r="53" spans="7:19" x14ac:dyDescent="0.25">
      <c r="G53"/>
      <c r="N53" s="1">
        <v>23</v>
      </c>
      <c r="O53" s="1">
        <v>36</v>
      </c>
      <c r="P53" s="1">
        <v>2438</v>
      </c>
      <c r="Q53" s="1">
        <v>67.721999999999994</v>
      </c>
      <c r="R53" s="1">
        <v>8.66</v>
      </c>
      <c r="S53" s="1">
        <v>255</v>
      </c>
    </row>
    <row r="54" spans="7:19" x14ac:dyDescent="0.25">
      <c r="G54"/>
      <c r="N54" s="1">
        <v>24</v>
      </c>
      <c r="O54" s="1">
        <v>28</v>
      </c>
      <c r="P54" s="1">
        <v>1846</v>
      </c>
      <c r="Q54" s="1">
        <v>65.929000000000002</v>
      </c>
      <c r="R54" s="1">
        <v>6.5570000000000004</v>
      </c>
      <c r="S54" s="1">
        <v>255</v>
      </c>
    </row>
    <row r="55" spans="7:19" x14ac:dyDescent="0.25">
      <c r="G55"/>
      <c r="N55" s="1">
        <v>25</v>
      </c>
      <c r="O55" s="1">
        <v>26</v>
      </c>
      <c r="P55" s="1">
        <v>2683</v>
      </c>
      <c r="Q55" s="1">
        <v>103.19199999999999</v>
      </c>
      <c r="R55" s="1">
        <v>9.5299999999999994</v>
      </c>
      <c r="S55" s="1">
        <v>255</v>
      </c>
    </row>
    <row r="56" spans="7:19" x14ac:dyDescent="0.25">
      <c r="G56"/>
    </row>
  </sheetData>
  <mergeCells count="1">
    <mergeCell ref="B1:C1"/>
  </mergeCells>
  <pageMargins left="0.7" right="0.7" top="0.75" bottom="0.75" header="0.3" footer="0.3"/>
  <pageSetup orientation="portrait" r:id="rId1"/>
  <drawing r:id="rId2"/>
  <tableParts count="2">
    <tablePart r:id="rId3"/>
    <tablePart r:id="rId4"/>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C476AD-4A48-4EF3-BE69-83C0CF9B2FCA}">
  <sheetPr codeName="Sheet6">
    <tabColor theme="5" tint="0.39997558519241921"/>
  </sheetPr>
  <dimension ref="B1:S32"/>
  <sheetViews>
    <sheetView zoomScaleNormal="100" workbookViewId="0">
      <selection activeCell="C6" sqref="C6"/>
    </sheetView>
  </sheetViews>
  <sheetFormatPr defaultColWidth="9.140625" defaultRowHeight="15" x14ac:dyDescent="0.25"/>
  <cols>
    <col min="1" max="1" width="3" style="1" customWidth="1"/>
    <col min="2" max="2" width="46" style="1" customWidth="1"/>
    <col min="3" max="3" width="27.140625" style="1" customWidth="1"/>
    <col min="4" max="5" width="3" style="1" customWidth="1"/>
    <col min="6" max="6" width="9.140625" style="1"/>
    <col min="7" max="7" width="36.28515625" style="1" bestFit="1" customWidth="1"/>
    <col min="8" max="8" width="14.85546875" style="1" bestFit="1" customWidth="1"/>
    <col min="9" max="9" width="9.140625" style="1"/>
    <col min="10" max="10" width="23" style="1" customWidth="1"/>
    <col min="11" max="16384" width="9.140625" style="1"/>
  </cols>
  <sheetData>
    <row r="1" spans="2:19" ht="23.25" x14ac:dyDescent="0.25">
      <c r="B1" s="18" t="s">
        <v>28</v>
      </c>
      <c r="C1" s="18"/>
    </row>
    <row r="2" spans="2:19" ht="20.25" thickBot="1" x14ac:dyDescent="0.35">
      <c r="B2" s="8" t="s">
        <v>20</v>
      </c>
    </row>
    <row r="3" spans="2:19" ht="45.75" customHeight="1" thickTop="1" x14ac:dyDescent="0.25">
      <c r="B3" s="5" t="s">
        <v>22</v>
      </c>
    </row>
    <row r="4" spans="2:19" x14ac:dyDescent="0.25">
      <c r="B4" s="5"/>
    </row>
    <row r="5" spans="2:19" x14ac:dyDescent="0.25">
      <c r="B5" t="s">
        <v>16</v>
      </c>
      <c r="C5" s="12" t="s">
        <v>78</v>
      </c>
      <c r="G5" t="s">
        <v>14</v>
      </c>
      <c r="H5" t="s">
        <v>15</v>
      </c>
    </row>
    <row r="6" spans="2:19" x14ac:dyDescent="0.25">
      <c r="B6" t="s">
        <v>17</v>
      </c>
      <c r="C6" s="2" t="s">
        <v>21</v>
      </c>
      <c r="G6" t="s">
        <v>11</v>
      </c>
      <c r="H6" t="s">
        <v>13</v>
      </c>
      <c r="J6" t="s">
        <v>58</v>
      </c>
      <c r="K6">
        <f>MAX(G7:G31)</f>
        <v>25</v>
      </c>
      <c r="N6" s="1">
        <v>1</v>
      </c>
      <c r="O6" s="1">
        <v>50</v>
      </c>
      <c r="P6" s="1">
        <v>1539</v>
      </c>
      <c r="Q6" s="1">
        <v>30.78</v>
      </c>
      <c r="R6" s="1">
        <v>9.5500000000000007</v>
      </c>
      <c r="S6" s="1">
        <v>255</v>
      </c>
    </row>
    <row r="7" spans="2:19" x14ac:dyDescent="0.25">
      <c r="B7" t="s">
        <v>18</v>
      </c>
      <c r="C7" s="6">
        <f ca="1">TODAY()</f>
        <v>45321</v>
      </c>
      <c r="G7">
        <v>1</v>
      </c>
      <c r="H7" s="1">
        <v>2.78</v>
      </c>
      <c r="J7" t="s">
        <v>59</v>
      </c>
      <c r="K7">
        <f>VLOOKUP(K6,confidence_95_multiplier[#All],2,FALSE)</f>
        <v>2.0640000000000001</v>
      </c>
      <c r="N7" s="1">
        <v>2</v>
      </c>
      <c r="O7" s="1">
        <v>53</v>
      </c>
      <c r="P7" s="1">
        <v>1865</v>
      </c>
      <c r="Q7" s="1">
        <v>35.189</v>
      </c>
      <c r="R7" s="1">
        <v>11.571999999999999</v>
      </c>
      <c r="S7" s="1">
        <v>255</v>
      </c>
    </row>
    <row r="8" spans="2:19" x14ac:dyDescent="0.25">
      <c r="G8">
        <v>2</v>
      </c>
      <c r="H8" s="1">
        <v>3.673</v>
      </c>
      <c r="J8" t="s">
        <v>60</v>
      </c>
      <c r="K8">
        <f>AVERAGE(porosity_readings[x_i])</f>
        <v>8.4586799999999993</v>
      </c>
      <c r="N8" s="1">
        <v>3</v>
      </c>
      <c r="O8" s="1">
        <v>46</v>
      </c>
      <c r="P8" s="1">
        <v>1426</v>
      </c>
      <c r="Q8" s="1">
        <v>31</v>
      </c>
      <c r="R8" s="1">
        <v>8.8480000000000008</v>
      </c>
      <c r="S8" s="1">
        <v>255</v>
      </c>
    </row>
    <row r="9" spans="2:19" x14ac:dyDescent="0.25">
      <c r="B9" t="s">
        <v>55</v>
      </c>
      <c r="C9" s="3">
        <v>1000</v>
      </c>
      <c r="G9">
        <v>3</v>
      </c>
      <c r="H9" s="1">
        <v>4.7469999999999999</v>
      </c>
      <c r="J9" t="s">
        <v>61</v>
      </c>
      <c r="K9">
        <f>_xlfn.STDEV.S(porosity_readings[x_i])</f>
        <v>4.2262419645984952</v>
      </c>
      <c r="N9" s="1">
        <v>4</v>
      </c>
      <c r="O9" s="1">
        <v>46</v>
      </c>
      <c r="P9" s="1">
        <v>2325</v>
      </c>
      <c r="Q9" s="1">
        <v>50.542999999999999</v>
      </c>
      <c r="R9" s="1">
        <v>14.427</v>
      </c>
      <c r="S9" s="1">
        <v>255</v>
      </c>
    </row>
    <row r="10" spans="2:19" x14ac:dyDescent="0.25">
      <c r="B10" t="s">
        <v>26</v>
      </c>
      <c r="C10" s="11">
        <f>APS_Al2O3_1000X!K8</f>
        <v>8.4586799999999993</v>
      </c>
      <c r="G10">
        <v>4</v>
      </c>
      <c r="H10" s="1">
        <v>4.8280000000000003</v>
      </c>
      <c r="J10" t="s">
        <v>62</v>
      </c>
      <c r="K10" s="7">
        <f>K9*K7/(SQRT(K6))</f>
        <v>1.744592682986259</v>
      </c>
      <c r="N10" s="1">
        <v>5</v>
      </c>
      <c r="O10" s="1">
        <v>51</v>
      </c>
      <c r="P10" s="1">
        <v>1794</v>
      </c>
      <c r="Q10" s="1">
        <v>35.176000000000002</v>
      </c>
      <c r="R10" s="1">
        <v>11.132</v>
      </c>
      <c r="S10" s="1">
        <v>255</v>
      </c>
    </row>
    <row r="11" spans="2:19" x14ac:dyDescent="0.25">
      <c r="B11" t="s">
        <v>25</v>
      </c>
      <c r="C11" s="9">
        <f>APS_Al2O3_1000X!K12</f>
        <v>2.78</v>
      </c>
      <c r="G11">
        <v>5</v>
      </c>
      <c r="H11" s="1">
        <v>5.0069999999999997</v>
      </c>
      <c r="J11" t="s">
        <v>63</v>
      </c>
      <c r="K11" s="7">
        <f>K10/K8</f>
        <v>0.2062488098599615</v>
      </c>
      <c r="N11" s="1">
        <v>6</v>
      </c>
      <c r="O11" s="1">
        <v>43</v>
      </c>
      <c r="P11" s="1">
        <v>448</v>
      </c>
      <c r="Q11" s="1">
        <v>10.419</v>
      </c>
      <c r="R11" s="1">
        <v>2.78</v>
      </c>
      <c r="S11" s="1">
        <v>255</v>
      </c>
    </row>
    <row r="12" spans="2:19" x14ac:dyDescent="0.25">
      <c r="B12" t="s">
        <v>24</v>
      </c>
      <c r="C12" s="9">
        <f>APS_Al2O3_1000X!K13</f>
        <v>19.937000000000001</v>
      </c>
      <c r="G12">
        <v>6</v>
      </c>
      <c r="H12" s="1">
        <v>5.1559999999999997</v>
      </c>
      <c r="J12" t="s">
        <v>64</v>
      </c>
      <c r="K12">
        <f>MIN(porosity_readings[x_i])</f>
        <v>2.78</v>
      </c>
      <c r="N12" s="1">
        <v>7</v>
      </c>
      <c r="O12" s="1">
        <v>55</v>
      </c>
      <c r="P12" s="1">
        <v>1081</v>
      </c>
      <c r="Q12" s="1">
        <v>19.655000000000001</v>
      </c>
      <c r="R12" s="1">
        <v>6.7080000000000002</v>
      </c>
      <c r="S12" s="1">
        <v>255</v>
      </c>
    </row>
    <row r="13" spans="2:19" x14ac:dyDescent="0.25">
      <c r="B13" t="s">
        <v>12</v>
      </c>
      <c r="C13" s="11">
        <f>APS_Al2O3_1000X!K9</f>
        <v>4.2262419645984952</v>
      </c>
      <c r="G13">
        <v>7</v>
      </c>
      <c r="H13" s="1">
        <v>5.7149999999999999</v>
      </c>
      <c r="J13" t="s">
        <v>65</v>
      </c>
      <c r="K13">
        <f>MAX(porosity_readings[x_i])</f>
        <v>19.937000000000001</v>
      </c>
      <c r="N13" s="1">
        <v>8</v>
      </c>
      <c r="O13" s="1">
        <v>33</v>
      </c>
      <c r="P13" s="1">
        <v>959</v>
      </c>
      <c r="Q13" s="1">
        <v>29.061</v>
      </c>
      <c r="R13" s="1">
        <v>5.9509999999999996</v>
      </c>
      <c r="S13" s="1">
        <v>255</v>
      </c>
    </row>
    <row r="14" spans="2:19" x14ac:dyDescent="0.25">
      <c r="B14" t="s">
        <v>19</v>
      </c>
      <c r="C14" s="10">
        <f>APS_Al2O3_1000X!K10</f>
        <v>1.744592682986259</v>
      </c>
      <c r="G14">
        <v>8</v>
      </c>
      <c r="H14" s="1">
        <v>5.7149999999999999</v>
      </c>
      <c r="N14" s="1">
        <v>9</v>
      </c>
      <c r="O14" s="1">
        <v>57</v>
      </c>
      <c r="P14" s="1">
        <v>778</v>
      </c>
      <c r="Q14" s="1">
        <v>13.648999999999999</v>
      </c>
      <c r="R14" s="1">
        <v>4.8280000000000003</v>
      </c>
      <c r="S14" s="1">
        <v>255</v>
      </c>
    </row>
    <row r="15" spans="2:19" x14ac:dyDescent="0.25">
      <c r="B15" t="s">
        <v>27</v>
      </c>
      <c r="C15" s="14">
        <f>APS_Al2O3_1000X!K11</f>
        <v>0.2062488098599615</v>
      </c>
      <c r="G15">
        <v>9</v>
      </c>
      <c r="H15" s="1">
        <v>5.944</v>
      </c>
      <c r="J15" t="s">
        <v>5</v>
      </c>
      <c r="K15"/>
      <c r="N15" s="1">
        <v>10</v>
      </c>
      <c r="O15" s="1">
        <v>56</v>
      </c>
      <c r="P15" s="1">
        <v>1040</v>
      </c>
      <c r="Q15" s="1">
        <v>18.571000000000002</v>
      </c>
      <c r="R15" s="1">
        <v>6.4530000000000003</v>
      </c>
      <c r="S15" s="1">
        <v>255</v>
      </c>
    </row>
    <row r="16" spans="2:19" x14ac:dyDescent="0.25">
      <c r="B16" t="s">
        <v>23</v>
      </c>
      <c r="C16" s="2">
        <f>APS_Al2O3_1000X!K6</f>
        <v>25</v>
      </c>
      <c r="G16">
        <v>10</v>
      </c>
      <c r="H16" s="1">
        <v>5.9509999999999996</v>
      </c>
      <c r="J16" t="s">
        <v>3</v>
      </c>
      <c r="K16" t="s">
        <v>4</v>
      </c>
      <c r="N16" s="1">
        <v>11</v>
      </c>
      <c r="O16" s="1">
        <v>38</v>
      </c>
      <c r="P16" s="1">
        <v>2240</v>
      </c>
      <c r="Q16" s="1">
        <v>58.947000000000003</v>
      </c>
      <c r="R16" s="1">
        <v>13.898999999999999</v>
      </c>
      <c r="S16" s="1">
        <v>255</v>
      </c>
    </row>
    <row r="17" spans="2:19" x14ac:dyDescent="0.25">
      <c r="G17">
        <v>11</v>
      </c>
      <c r="H17" s="1">
        <v>6.1619999999999999</v>
      </c>
      <c r="J17">
        <v>20</v>
      </c>
      <c r="K17">
        <v>2.093</v>
      </c>
      <c r="N17" s="1">
        <v>12</v>
      </c>
      <c r="O17" s="1">
        <v>54</v>
      </c>
      <c r="P17" s="1">
        <v>831</v>
      </c>
      <c r="Q17" s="1">
        <v>15.388999999999999</v>
      </c>
      <c r="R17" s="1">
        <v>5.1559999999999997</v>
      </c>
      <c r="S17" s="1">
        <v>255</v>
      </c>
    </row>
    <row r="18" spans="2:19" x14ac:dyDescent="0.25">
      <c r="B18" s="1" t="s">
        <v>66</v>
      </c>
      <c r="C18" s="3">
        <v>0</v>
      </c>
      <c r="G18">
        <v>12</v>
      </c>
      <c r="H18" s="1">
        <v>6.4530000000000003</v>
      </c>
      <c r="J18">
        <v>21</v>
      </c>
      <c r="K18">
        <v>2.0859999999999999</v>
      </c>
      <c r="N18" s="1">
        <v>13</v>
      </c>
      <c r="O18" s="1">
        <v>44</v>
      </c>
      <c r="P18" s="1">
        <v>1504</v>
      </c>
      <c r="Q18" s="1">
        <v>34.182000000000002</v>
      </c>
      <c r="R18" s="1">
        <v>9.3320000000000007</v>
      </c>
      <c r="S18" s="1">
        <v>255</v>
      </c>
    </row>
    <row r="19" spans="2:19" x14ac:dyDescent="0.25">
      <c r="B19" s="1" t="s">
        <v>53</v>
      </c>
      <c r="C19" s="2">
        <v>0</v>
      </c>
      <c r="G19">
        <v>13</v>
      </c>
      <c r="H19" s="1">
        <v>6.7080000000000002</v>
      </c>
      <c r="J19">
        <v>22</v>
      </c>
      <c r="K19">
        <v>2.08</v>
      </c>
      <c r="N19" s="1">
        <v>14</v>
      </c>
      <c r="O19" s="1">
        <v>52</v>
      </c>
      <c r="P19" s="1">
        <v>921</v>
      </c>
      <c r="Q19" s="1">
        <v>17.712</v>
      </c>
      <c r="R19" s="1">
        <v>5.7149999999999999</v>
      </c>
      <c r="S19" s="1">
        <v>255</v>
      </c>
    </row>
    <row r="20" spans="2:19" x14ac:dyDescent="0.25">
      <c r="B20" s="1" t="s">
        <v>54</v>
      </c>
      <c r="C20" s="2">
        <v>80</v>
      </c>
      <c r="G20">
        <v>14</v>
      </c>
      <c r="H20" s="1">
        <v>7.7619999999999996</v>
      </c>
      <c r="J20">
        <v>23</v>
      </c>
      <c r="K20">
        <v>2.0739999999999998</v>
      </c>
      <c r="N20" s="1">
        <v>15</v>
      </c>
      <c r="O20" s="1">
        <v>48</v>
      </c>
      <c r="P20" s="1">
        <v>1885</v>
      </c>
      <c r="Q20" s="1">
        <v>39.271000000000001</v>
      </c>
      <c r="R20" s="1">
        <v>11.696</v>
      </c>
      <c r="S20" s="1">
        <v>255</v>
      </c>
    </row>
    <row r="21" spans="2:19" x14ac:dyDescent="0.25">
      <c r="G21">
        <v>15</v>
      </c>
      <c r="H21" s="1">
        <v>8.4760000000000009</v>
      </c>
      <c r="J21">
        <v>24</v>
      </c>
      <c r="K21">
        <v>2.069</v>
      </c>
      <c r="N21" s="1">
        <v>16</v>
      </c>
      <c r="O21" s="1">
        <v>44</v>
      </c>
      <c r="P21" s="1">
        <v>993</v>
      </c>
      <c r="Q21" s="1">
        <v>22.568000000000001</v>
      </c>
      <c r="R21" s="1">
        <v>6.1619999999999999</v>
      </c>
      <c r="S21" s="1">
        <v>255</v>
      </c>
    </row>
    <row r="22" spans="2:19" x14ac:dyDescent="0.25">
      <c r="G22">
        <v>16</v>
      </c>
      <c r="H22" s="1">
        <v>8.8480000000000008</v>
      </c>
      <c r="J22">
        <v>25</v>
      </c>
      <c r="K22">
        <v>2.0640000000000001</v>
      </c>
      <c r="N22" s="1">
        <v>17</v>
      </c>
      <c r="O22" s="1">
        <v>55</v>
      </c>
      <c r="P22" s="1">
        <v>921</v>
      </c>
      <c r="Q22" s="1">
        <v>16.745000000000001</v>
      </c>
      <c r="R22" s="1">
        <v>5.7149999999999999</v>
      </c>
      <c r="S22" s="1">
        <v>255</v>
      </c>
    </row>
    <row r="23" spans="2:19" x14ac:dyDescent="0.25">
      <c r="C23" s="4"/>
      <c r="G23">
        <v>17</v>
      </c>
      <c r="H23" s="1">
        <v>9.3320000000000007</v>
      </c>
      <c r="J23">
        <v>26</v>
      </c>
      <c r="K23">
        <v>2.06</v>
      </c>
      <c r="N23" s="1">
        <v>18</v>
      </c>
      <c r="O23" s="1">
        <v>44</v>
      </c>
      <c r="P23" s="1">
        <v>765</v>
      </c>
      <c r="Q23" s="1">
        <v>17.385999999999999</v>
      </c>
      <c r="R23" s="1">
        <v>4.7469999999999999</v>
      </c>
      <c r="S23" s="1">
        <v>255</v>
      </c>
    </row>
    <row r="24" spans="2:19" x14ac:dyDescent="0.25">
      <c r="G24">
        <v>18</v>
      </c>
      <c r="H24" s="1">
        <v>9.5500000000000007</v>
      </c>
      <c r="J24">
        <v>27</v>
      </c>
      <c r="K24">
        <v>2.056</v>
      </c>
      <c r="N24" s="1">
        <v>19</v>
      </c>
      <c r="O24" s="1">
        <v>44</v>
      </c>
      <c r="P24" s="1">
        <v>1366</v>
      </c>
      <c r="Q24" s="1">
        <v>31.045000000000002</v>
      </c>
      <c r="R24" s="1">
        <v>8.4760000000000009</v>
      </c>
      <c r="S24" s="1">
        <v>255</v>
      </c>
    </row>
    <row r="25" spans="2:19" x14ac:dyDescent="0.25">
      <c r="G25">
        <v>19</v>
      </c>
      <c r="H25" s="1">
        <v>11.132</v>
      </c>
      <c r="J25">
        <v>28</v>
      </c>
      <c r="K25">
        <v>2.052</v>
      </c>
      <c r="N25" s="1">
        <v>20</v>
      </c>
      <c r="O25" s="1">
        <v>59</v>
      </c>
      <c r="P25" s="1">
        <v>592</v>
      </c>
      <c r="Q25" s="1">
        <v>10.034000000000001</v>
      </c>
      <c r="R25" s="1">
        <v>3.673</v>
      </c>
      <c r="S25" s="1">
        <v>255</v>
      </c>
    </row>
    <row r="26" spans="2:19" x14ac:dyDescent="0.25">
      <c r="G26">
        <v>20</v>
      </c>
      <c r="H26" s="1">
        <v>11.571999999999999</v>
      </c>
      <c r="J26">
        <v>29</v>
      </c>
      <c r="K26">
        <v>2.048</v>
      </c>
      <c r="N26" s="1">
        <v>21</v>
      </c>
      <c r="O26" s="1">
        <v>30</v>
      </c>
      <c r="P26" s="1">
        <v>2578</v>
      </c>
      <c r="Q26" s="1">
        <v>85.933000000000007</v>
      </c>
      <c r="R26" s="1">
        <v>15.997</v>
      </c>
      <c r="S26" s="1">
        <v>255</v>
      </c>
    </row>
    <row r="27" spans="2:19" x14ac:dyDescent="0.25">
      <c r="G27">
        <v>21</v>
      </c>
      <c r="H27" s="1">
        <v>11.696</v>
      </c>
      <c r="J27">
        <v>30</v>
      </c>
      <c r="K27">
        <v>2.0449999999999999</v>
      </c>
      <c r="N27" s="1">
        <v>22</v>
      </c>
      <c r="O27" s="1">
        <v>32</v>
      </c>
      <c r="P27" s="1">
        <v>1251</v>
      </c>
      <c r="Q27" s="1">
        <v>39.094000000000001</v>
      </c>
      <c r="R27" s="1">
        <v>7.7619999999999996</v>
      </c>
      <c r="S27" s="1">
        <v>255</v>
      </c>
    </row>
    <row r="28" spans="2:19" x14ac:dyDescent="0.25">
      <c r="G28">
        <v>22</v>
      </c>
      <c r="H28" s="1">
        <v>13.898999999999999</v>
      </c>
      <c r="J28">
        <v>40</v>
      </c>
      <c r="K28">
        <v>2.02</v>
      </c>
      <c r="N28" s="1">
        <v>23</v>
      </c>
      <c r="O28" s="1">
        <v>44</v>
      </c>
      <c r="P28" s="1">
        <v>807</v>
      </c>
      <c r="Q28" s="1">
        <v>18.341000000000001</v>
      </c>
      <c r="R28" s="1">
        <v>5.0069999999999997</v>
      </c>
      <c r="S28" s="1">
        <v>255</v>
      </c>
    </row>
    <row r="29" spans="2:19" x14ac:dyDescent="0.25">
      <c r="G29">
        <v>23</v>
      </c>
      <c r="H29" s="1">
        <v>14.427</v>
      </c>
      <c r="J29">
        <v>60</v>
      </c>
      <c r="K29">
        <v>2</v>
      </c>
      <c r="N29" s="1">
        <v>24</v>
      </c>
      <c r="O29" s="1">
        <v>37</v>
      </c>
      <c r="P29" s="1">
        <v>958</v>
      </c>
      <c r="Q29" s="1">
        <v>25.891999999999999</v>
      </c>
      <c r="R29" s="1">
        <v>5.944</v>
      </c>
      <c r="S29" s="1">
        <v>255</v>
      </c>
    </row>
    <row r="30" spans="2:19" x14ac:dyDescent="0.25">
      <c r="G30">
        <v>24</v>
      </c>
      <c r="H30" s="1">
        <v>15.997</v>
      </c>
      <c r="N30" s="1">
        <v>25</v>
      </c>
      <c r="O30" s="1">
        <v>25</v>
      </c>
      <c r="P30" s="1">
        <v>3213</v>
      </c>
      <c r="Q30" s="1">
        <v>128.52000000000001</v>
      </c>
      <c r="R30" s="1">
        <v>19.937000000000001</v>
      </c>
      <c r="S30" s="1">
        <v>255</v>
      </c>
    </row>
    <row r="31" spans="2:19" x14ac:dyDescent="0.25">
      <c r="G31">
        <v>25</v>
      </c>
      <c r="H31" s="1">
        <v>19.937000000000001</v>
      </c>
    </row>
    <row r="32" spans="2:19" x14ac:dyDescent="0.25">
      <c r="G32"/>
      <c r="H32"/>
    </row>
  </sheetData>
  <mergeCells count="1">
    <mergeCell ref="B1:C1"/>
  </mergeCells>
  <pageMargins left="0.7" right="0.7" top="0.75" bottom="0.75" header="0.3" footer="0.3"/>
  <pageSetup orientation="portrait" r:id="rId1"/>
  <drawing r:id="rId2"/>
  <tableParts count="2">
    <tablePart r:id="rId3"/>
    <tablePart r:id="rId4"/>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4AB394-C517-2345-93BD-53016AD63038}">
  <sheetPr codeName="Sheet7">
    <tabColor theme="5" tint="0.39997558519241921"/>
  </sheetPr>
  <dimension ref="B1:S56"/>
  <sheetViews>
    <sheetView topLeftCell="A2" zoomScaleNormal="100" workbookViewId="0">
      <selection activeCell="C49" sqref="C49"/>
    </sheetView>
  </sheetViews>
  <sheetFormatPr defaultColWidth="9.140625" defaultRowHeight="15" x14ac:dyDescent="0.25"/>
  <cols>
    <col min="1" max="1" width="3" style="1" customWidth="1"/>
    <col min="2" max="2" width="46" style="1" customWidth="1"/>
    <col min="3" max="3" width="27.140625" style="1" customWidth="1"/>
    <col min="4" max="5" width="3" style="1" customWidth="1"/>
    <col min="6" max="6" width="9.140625" style="1"/>
    <col min="7" max="7" width="36.28515625" style="1" bestFit="1" customWidth="1"/>
    <col min="8" max="8" width="14.85546875" style="1" bestFit="1" customWidth="1"/>
    <col min="9" max="9" width="9.140625" style="1"/>
    <col min="10" max="10" width="23" style="1" customWidth="1"/>
    <col min="11" max="16384" width="9.140625" style="1"/>
  </cols>
  <sheetData>
    <row r="1" spans="2:19" ht="23.25" x14ac:dyDescent="0.25">
      <c r="B1" s="18" t="s">
        <v>28</v>
      </c>
      <c r="C1" s="18"/>
    </row>
    <row r="2" spans="2:19" ht="20.25" thickBot="1" x14ac:dyDescent="0.35">
      <c r="B2" s="8" t="s">
        <v>20</v>
      </c>
    </row>
    <row r="3" spans="2:19" ht="45.75" customHeight="1" thickTop="1" x14ac:dyDescent="0.25">
      <c r="B3" s="5" t="s">
        <v>22</v>
      </c>
    </row>
    <row r="4" spans="2:19" x14ac:dyDescent="0.25">
      <c r="B4" s="5"/>
    </row>
    <row r="5" spans="2:19" x14ac:dyDescent="0.25">
      <c r="B5" t="s">
        <v>16</v>
      </c>
      <c r="C5" s="12" t="s">
        <v>79</v>
      </c>
      <c r="G5" t="s">
        <v>14</v>
      </c>
      <c r="H5" t="s">
        <v>15</v>
      </c>
    </row>
    <row r="6" spans="2:19" x14ac:dyDescent="0.25">
      <c r="B6" t="s">
        <v>17</v>
      </c>
      <c r="C6" s="2" t="s">
        <v>21</v>
      </c>
      <c r="G6" t="s">
        <v>11</v>
      </c>
      <c r="H6" t="s">
        <v>13</v>
      </c>
      <c r="J6" t="s">
        <v>58</v>
      </c>
      <c r="K6">
        <f>MAX(G7:G31)</f>
        <v>25</v>
      </c>
      <c r="N6" s="1">
        <v>1</v>
      </c>
      <c r="O6" s="1">
        <v>80</v>
      </c>
      <c r="P6" s="1">
        <v>318</v>
      </c>
      <c r="Q6" s="1">
        <v>3.9750000000000001</v>
      </c>
      <c r="R6" s="1">
        <v>8.66</v>
      </c>
      <c r="S6" s="1">
        <v>255</v>
      </c>
    </row>
    <row r="7" spans="2:19" x14ac:dyDescent="0.25">
      <c r="B7" t="s">
        <v>18</v>
      </c>
      <c r="C7" s="6">
        <f ca="1">TODAY()</f>
        <v>45321</v>
      </c>
      <c r="G7">
        <v>1</v>
      </c>
      <c r="H7" s="1">
        <v>8.66</v>
      </c>
      <c r="J7" t="s">
        <v>59</v>
      </c>
      <c r="K7">
        <f>VLOOKUP(K6,confidence_95_multiplier1218[#All],2,FALSE)</f>
        <v>2.0640000000000001</v>
      </c>
      <c r="N7" s="1">
        <v>2</v>
      </c>
      <c r="O7" s="1">
        <v>90</v>
      </c>
      <c r="P7" s="1">
        <v>596</v>
      </c>
      <c r="Q7" s="1">
        <v>6.6219999999999999</v>
      </c>
      <c r="R7" s="1">
        <v>16.231000000000002</v>
      </c>
      <c r="S7" s="1">
        <v>255</v>
      </c>
    </row>
    <row r="8" spans="2:19" x14ac:dyDescent="0.25">
      <c r="G8">
        <v>2</v>
      </c>
      <c r="H8" s="1">
        <v>16.231000000000002</v>
      </c>
      <c r="J8" t="s">
        <v>60</v>
      </c>
      <c r="K8">
        <f>AVERAGE(porosity_readings1117[x_i])</f>
        <v>10.25924</v>
      </c>
      <c r="N8" s="1">
        <v>3</v>
      </c>
      <c r="O8" s="1">
        <v>61</v>
      </c>
      <c r="P8" s="1">
        <v>331</v>
      </c>
      <c r="Q8" s="1">
        <v>5.4260000000000002</v>
      </c>
      <c r="R8" s="1">
        <v>9.0139999999999993</v>
      </c>
      <c r="S8" s="1">
        <v>255</v>
      </c>
    </row>
    <row r="9" spans="2:19" x14ac:dyDescent="0.25">
      <c r="B9" t="s">
        <v>55</v>
      </c>
      <c r="C9" s="3">
        <v>1000</v>
      </c>
      <c r="G9">
        <v>3</v>
      </c>
      <c r="H9" s="1">
        <v>9.0139999999999993</v>
      </c>
      <c r="J9" t="s">
        <v>61</v>
      </c>
      <c r="K9">
        <f>_xlfn.STDEV.S(porosity_readings1117[x_i])</f>
        <v>2.2954312644904036</v>
      </c>
      <c r="N9" s="1">
        <v>4</v>
      </c>
      <c r="O9" s="1">
        <v>73</v>
      </c>
      <c r="P9" s="1">
        <v>350</v>
      </c>
      <c r="Q9" s="1">
        <v>4.7949999999999999</v>
      </c>
      <c r="R9" s="1">
        <v>9.532</v>
      </c>
      <c r="S9" s="1">
        <v>255</v>
      </c>
    </row>
    <row r="10" spans="2:19" x14ac:dyDescent="0.25">
      <c r="B10" t="s">
        <v>26</v>
      </c>
      <c r="C10" s="11">
        <f>HIP_APS_Al2O3_0250X!K8</f>
        <v>10.25924</v>
      </c>
      <c r="G10">
        <v>4</v>
      </c>
      <c r="H10" s="1">
        <v>9.532</v>
      </c>
      <c r="J10" t="s">
        <v>62</v>
      </c>
      <c r="K10" s="7">
        <f>K9*K7/(SQRT(K6))</f>
        <v>0.94755402598163863</v>
      </c>
      <c r="N10" s="1">
        <v>5</v>
      </c>
      <c r="O10" s="1">
        <v>82</v>
      </c>
      <c r="P10" s="1">
        <v>373</v>
      </c>
      <c r="Q10" s="1">
        <v>4.5490000000000004</v>
      </c>
      <c r="R10" s="1">
        <v>10.157999999999999</v>
      </c>
      <c r="S10" s="1">
        <v>255</v>
      </c>
    </row>
    <row r="11" spans="2:19" x14ac:dyDescent="0.25">
      <c r="B11" t="s">
        <v>25</v>
      </c>
      <c r="C11" s="9">
        <f>HIP_APS_Al2O3_0250X!K12</f>
        <v>5.61</v>
      </c>
      <c r="G11">
        <v>5</v>
      </c>
      <c r="H11" s="1">
        <v>10.157999999999999</v>
      </c>
      <c r="J11" t="s">
        <v>63</v>
      </c>
      <c r="K11" s="7">
        <f>K10/K8</f>
        <v>9.2361035123619165E-2</v>
      </c>
      <c r="N11" s="1">
        <v>6</v>
      </c>
      <c r="O11" s="1">
        <v>98</v>
      </c>
      <c r="P11" s="1">
        <v>438</v>
      </c>
      <c r="Q11" s="1">
        <v>4.4690000000000003</v>
      </c>
      <c r="R11" s="1">
        <v>11.928000000000001</v>
      </c>
      <c r="S11" s="1">
        <v>255</v>
      </c>
    </row>
    <row r="12" spans="2:19" x14ac:dyDescent="0.25">
      <c r="B12" t="s">
        <v>24</v>
      </c>
      <c r="C12" s="9">
        <f>HIP_APS_Al2O3_0250X!K13</f>
        <v>16.231000000000002</v>
      </c>
      <c r="G12">
        <v>6</v>
      </c>
      <c r="H12" s="1">
        <v>11.928000000000001</v>
      </c>
      <c r="J12" t="s">
        <v>64</v>
      </c>
      <c r="K12">
        <f>MIN(porosity_readings1117[x_i])</f>
        <v>5.61</v>
      </c>
      <c r="N12" s="1">
        <v>7</v>
      </c>
      <c r="O12" s="1">
        <v>76</v>
      </c>
      <c r="P12" s="1">
        <v>414</v>
      </c>
      <c r="Q12" s="1">
        <v>5.4470000000000001</v>
      </c>
      <c r="R12" s="1">
        <v>11.275</v>
      </c>
      <c r="S12" s="1">
        <v>255</v>
      </c>
    </row>
    <row r="13" spans="2:19" x14ac:dyDescent="0.25">
      <c r="B13" t="s">
        <v>12</v>
      </c>
      <c r="C13" s="11">
        <f>HIP_APS_Al2O3_0250X!K9</f>
        <v>2.2954312644904036</v>
      </c>
      <c r="G13">
        <v>7</v>
      </c>
      <c r="H13" s="1">
        <v>11.275</v>
      </c>
      <c r="J13" t="s">
        <v>65</v>
      </c>
      <c r="K13">
        <f>MAX(porosity_readings1117[x_i])</f>
        <v>16.231000000000002</v>
      </c>
      <c r="N13" s="1">
        <v>8</v>
      </c>
      <c r="O13" s="1">
        <v>105</v>
      </c>
      <c r="P13" s="1">
        <v>233</v>
      </c>
      <c r="Q13" s="1">
        <v>2.2189999999999999</v>
      </c>
      <c r="R13" s="1">
        <v>6.3449999999999998</v>
      </c>
      <c r="S13" s="1">
        <v>255</v>
      </c>
    </row>
    <row r="14" spans="2:19" x14ac:dyDescent="0.25">
      <c r="B14" t="s">
        <v>19</v>
      </c>
      <c r="C14" s="10">
        <f>HIP_APS_Al2O3_0250X!K10</f>
        <v>0.94755402598163863</v>
      </c>
      <c r="G14">
        <v>8</v>
      </c>
      <c r="H14" s="1">
        <v>6.3449999999999998</v>
      </c>
      <c r="N14" s="1">
        <v>9</v>
      </c>
      <c r="O14" s="1">
        <v>75</v>
      </c>
      <c r="P14" s="1">
        <v>402</v>
      </c>
      <c r="Q14" s="1">
        <v>5.36</v>
      </c>
      <c r="R14" s="1">
        <v>10.948</v>
      </c>
      <c r="S14" s="1">
        <v>255</v>
      </c>
    </row>
    <row r="15" spans="2:19" x14ac:dyDescent="0.25">
      <c r="B15" t="s">
        <v>27</v>
      </c>
      <c r="C15" s="14">
        <f>HIP_APS_Al2O3_0250X!K11</f>
        <v>9.2361035123619165E-2</v>
      </c>
      <c r="G15">
        <v>9</v>
      </c>
      <c r="H15" s="1">
        <v>10.948</v>
      </c>
      <c r="J15" t="s">
        <v>5</v>
      </c>
      <c r="K15"/>
      <c r="N15" s="1">
        <v>10</v>
      </c>
      <c r="O15" s="1">
        <v>79</v>
      </c>
      <c r="P15" s="1">
        <v>377</v>
      </c>
      <c r="Q15" s="1">
        <v>4.7720000000000002</v>
      </c>
      <c r="R15" s="1">
        <v>10.266999999999999</v>
      </c>
      <c r="S15" s="1">
        <v>255</v>
      </c>
    </row>
    <row r="16" spans="2:19" x14ac:dyDescent="0.25">
      <c r="B16" t="s">
        <v>23</v>
      </c>
      <c r="C16" s="2">
        <f>HIP_APS_Al2O3_0250X!K6</f>
        <v>25</v>
      </c>
      <c r="G16">
        <v>10</v>
      </c>
      <c r="H16" s="1">
        <v>10.266999999999999</v>
      </c>
      <c r="J16" t="s">
        <v>3</v>
      </c>
      <c r="K16" t="s">
        <v>4</v>
      </c>
      <c r="N16" s="1">
        <v>11</v>
      </c>
      <c r="O16" s="1">
        <v>77</v>
      </c>
      <c r="P16" s="1">
        <v>206</v>
      </c>
      <c r="Q16" s="1">
        <v>2.6749999999999998</v>
      </c>
      <c r="R16" s="1">
        <v>5.61</v>
      </c>
      <c r="S16" s="1">
        <v>255</v>
      </c>
    </row>
    <row r="17" spans="2:19" x14ac:dyDescent="0.25">
      <c r="G17">
        <v>11</v>
      </c>
      <c r="H17" s="1">
        <v>5.61</v>
      </c>
      <c r="J17">
        <v>20</v>
      </c>
      <c r="K17">
        <v>2.093</v>
      </c>
      <c r="N17" s="1">
        <v>12</v>
      </c>
      <c r="O17" s="1">
        <v>90</v>
      </c>
      <c r="P17" s="1">
        <v>454</v>
      </c>
      <c r="Q17" s="1">
        <v>5.0439999999999996</v>
      </c>
      <c r="R17" s="1">
        <v>12.364000000000001</v>
      </c>
      <c r="S17" s="1">
        <v>255</v>
      </c>
    </row>
    <row r="18" spans="2:19" x14ac:dyDescent="0.25">
      <c r="B18" s="1" t="s">
        <v>66</v>
      </c>
      <c r="C18" s="3">
        <v>0</v>
      </c>
      <c r="G18">
        <v>12</v>
      </c>
      <c r="H18" s="1">
        <v>12.364000000000001</v>
      </c>
      <c r="J18">
        <v>21</v>
      </c>
      <c r="K18">
        <v>2.0859999999999999</v>
      </c>
      <c r="N18" s="1">
        <v>13</v>
      </c>
      <c r="O18" s="1">
        <v>79</v>
      </c>
      <c r="P18" s="1">
        <v>319</v>
      </c>
      <c r="Q18" s="1">
        <v>4.0380000000000003</v>
      </c>
      <c r="R18" s="1">
        <v>8.6869999999999994</v>
      </c>
      <c r="S18" s="1">
        <v>255</v>
      </c>
    </row>
    <row r="19" spans="2:19" x14ac:dyDescent="0.25">
      <c r="B19" s="1" t="s">
        <v>53</v>
      </c>
      <c r="C19" s="2">
        <v>0</v>
      </c>
      <c r="G19">
        <v>13</v>
      </c>
      <c r="H19" s="1">
        <v>8.6869999999999994</v>
      </c>
      <c r="J19">
        <v>22</v>
      </c>
      <c r="K19">
        <v>2.08</v>
      </c>
      <c r="N19" s="1">
        <v>14</v>
      </c>
      <c r="O19" s="1">
        <v>70</v>
      </c>
      <c r="P19" s="1">
        <v>383</v>
      </c>
      <c r="Q19" s="1">
        <v>5.4710000000000001</v>
      </c>
      <c r="R19" s="1">
        <v>10.43</v>
      </c>
      <c r="S19" s="1">
        <v>255</v>
      </c>
    </row>
    <row r="20" spans="2:19" x14ac:dyDescent="0.25">
      <c r="B20" s="1" t="s">
        <v>54</v>
      </c>
      <c r="C20" s="2">
        <v>78</v>
      </c>
      <c r="G20">
        <v>14</v>
      </c>
      <c r="H20" s="1">
        <v>10.43</v>
      </c>
      <c r="J20">
        <v>23</v>
      </c>
      <c r="K20">
        <v>2.0739999999999998</v>
      </c>
      <c r="N20" s="1">
        <v>15</v>
      </c>
      <c r="O20" s="1">
        <v>90</v>
      </c>
      <c r="P20" s="1">
        <v>485</v>
      </c>
      <c r="Q20" s="1">
        <v>5.3890000000000002</v>
      </c>
      <c r="R20" s="1">
        <v>13.208</v>
      </c>
      <c r="S20" s="1">
        <v>255</v>
      </c>
    </row>
    <row r="21" spans="2:19" x14ac:dyDescent="0.25">
      <c r="G21">
        <v>15</v>
      </c>
      <c r="H21" s="1">
        <v>13.208</v>
      </c>
      <c r="J21">
        <v>24</v>
      </c>
      <c r="K21">
        <v>2.069</v>
      </c>
      <c r="N21" s="1">
        <v>16</v>
      </c>
      <c r="O21" s="1">
        <v>67</v>
      </c>
      <c r="P21" s="1">
        <v>395</v>
      </c>
      <c r="Q21" s="1">
        <v>5.8959999999999999</v>
      </c>
      <c r="R21" s="1">
        <v>10.757</v>
      </c>
      <c r="S21" s="1">
        <v>255</v>
      </c>
    </row>
    <row r="22" spans="2:19" x14ac:dyDescent="0.25">
      <c r="G22">
        <v>16</v>
      </c>
      <c r="H22" s="1">
        <v>10.757</v>
      </c>
      <c r="J22">
        <v>25</v>
      </c>
      <c r="K22">
        <v>2.0640000000000001</v>
      </c>
      <c r="N22" s="1">
        <v>17</v>
      </c>
      <c r="O22" s="1">
        <v>103</v>
      </c>
      <c r="P22" s="1">
        <v>404</v>
      </c>
      <c r="Q22" s="1">
        <v>3.9220000000000002</v>
      </c>
      <c r="R22" s="1">
        <v>11.002000000000001</v>
      </c>
      <c r="S22" s="1">
        <v>255</v>
      </c>
    </row>
    <row r="23" spans="2:19" x14ac:dyDescent="0.25">
      <c r="C23" s="4"/>
      <c r="G23">
        <v>17</v>
      </c>
      <c r="H23" s="1">
        <v>11.002000000000001</v>
      </c>
      <c r="J23">
        <v>26</v>
      </c>
      <c r="K23">
        <v>2.06</v>
      </c>
      <c r="N23" s="1">
        <v>18</v>
      </c>
      <c r="O23" s="1">
        <v>99</v>
      </c>
      <c r="P23" s="1">
        <v>260</v>
      </c>
      <c r="Q23" s="1">
        <v>2.6259999999999999</v>
      </c>
      <c r="R23" s="1">
        <v>7.0810000000000004</v>
      </c>
      <c r="S23" s="1">
        <v>255</v>
      </c>
    </row>
    <row r="24" spans="2:19" x14ac:dyDescent="0.25">
      <c r="G24">
        <v>18</v>
      </c>
      <c r="H24" s="1">
        <v>7.0810000000000004</v>
      </c>
      <c r="J24">
        <v>27</v>
      </c>
      <c r="K24">
        <v>2.056</v>
      </c>
      <c r="N24" s="1">
        <v>19</v>
      </c>
      <c r="O24" s="1">
        <v>83</v>
      </c>
      <c r="P24" s="1">
        <v>319</v>
      </c>
      <c r="Q24" s="1">
        <v>3.843</v>
      </c>
      <c r="R24" s="1">
        <v>8.6869999999999994</v>
      </c>
      <c r="S24" s="1">
        <v>255</v>
      </c>
    </row>
    <row r="25" spans="2:19" x14ac:dyDescent="0.25">
      <c r="G25">
        <v>19</v>
      </c>
      <c r="H25" s="1">
        <v>8.6869999999999994</v>
      </c>
      <c r="J25">
        <v>28</v>
      </c>
      <c r="K25">
        <v>2.052</v>
      </c>
      <c r="N25" s="1">
        <v>20</v>
      </c>
      <c r="O25" s="1">
        <v>104</v>
      </c>
      <c r="P25" s="1">
        <v>318</v>
      </c>
      <c r="Q25" s="1">
        <v>3.0579999999999998</v>
      </c>
      <c r="R25" s="1">
        <v>8.66</v>
      </c>
      <c r="S25" s="1">
        <v>255</v>
      </c>
    </row>
    <row r="26" spans="2:19" x14ac:dyDescent="0.25">
      <c r="G26">
        <v>20</v>
      </c>
      <c r="H26" s="1">
        <v>8.66</v>
      </c>
      <c r="J26">
        <v>29</v>
      </c>
      <c r="K26">
        <v>2.048</v>
      </c>
      <c r="N26" s="1">
        <v>21</v>
      </c>
      <c r="O26" s="1">
        <v>93</v>
      </c>
      <c r="P26" s="1">
        <v>462</v>
      </c>
      <c r="Q26" s="1">
        <v>4.968</v>
      </c>
      <c r="R26" s="1">
        <v>12.582000000000001</v>
      </c>
      <c r="S26" s="1">
        <v>255</v>
      </c>
    </row>
    <row r="27" spans="2:19" x14ac:dyDescent="0.25">
      <c r="G27">
        <v>21</v>
      </c>
      <c r="H27" s="1">
        <v>12.582000000000001</v>
      </c>
      <c r="J27">
        <v>30</v>
      </c>
      <c r="K27">
        <v>2.0449999999999999</v>
      </c>
      <c r="N27" s="1">
        <v>22</v>
      </c>
      <c r="O27" s="1">
        <v>78</v>
      </c>
      <c r="P27" s="1">
        <v>478</v>
      </c>
      <c r="Q27" s="1">
        <v>6.1280000000000001</v>
      </c>
      <c r="R27" s="1">
        <v>13.016999999999999</v>
      </c>
      <c r="S27" s="1">
        <v>255</v>
      </c>
    </row>
    <row r="28" spans="2:19" x14ac:dyDescent="0.25">
      <c r="G28">
        <v>22</v>
      </c>
      <c r="H28" s="1">
        <v>13.016999999999999</v>
      </c>
      <c r="J28">
        <v>40</v>
      </c>
      <c r="K28">
        <v>2.02</v>
      </c>
      <c r="N28" s="1">
        <v>23</v>
      </c>
      <c r="O28" s="1">
        <v>108</v>
      </c>
      <c r="P28" s="1">
        <v>379</v>
      </c>
      <c r="Q28" s="1">
        <v>3.5089999999999999</v>
      </c>
      <c r="R28" s="1">
        <v>10.321</v>
      </c>
      <c r="S28" s="1">
        <v>255</v>
      </c>
    </row>
    <row r="29" spans="2:19" x14ac:dyDescent="0.25">
      <c r="G29">
        <v>23</v>
      </c>
      <c r="H29" s="1">
        <v>10.321</v>
      </c>
      <c r="J29">
        <v>60</v>
      </c>
      <c r="K29">
        <v>2</v>
      </c>
      <c r="N29" s="1">
        <v>24</v>
      </c>
      <c r="O29" s="1">
        <v>81</v>
      </c>
      <c r="P29" s="1">
        <v>367</v>
      </c>
      <c r="Q29" s="1">
        <v>4.5309999999999997</v>
      </c>
      <c r="R29" s="1">
        <v>9.9949999999999992</v>
      </c>
      <c r="S29" s="1">
        <v>255</v>
      </c>
    </row>
    <row r="30" spans="2:19" x14ac:dyDescent="0.25">
      <c r="G30">
        <v>24</v>
      </c>
      <c r="H30" s="1">
        <v>9.9949999999999992</v>
      </c>
      <c r="N30" s="1">
        <v>25</v>
      </c>
      <c r="O30" s="1">
        <v>83</v>
      </c>
      <c r="P30" s="1">
        <v>357</v>
      </c>
      <c r="Q30" s="1">
        <v>4.3010000000000002</v>
      </c>
      <c r="R30" s="1">
        <v>9.7219999999999995</v>
      </c>
      <c r="S30" s="1">
        <v>255</v>
      </c>
    </row>
    <row r="31" spans="2:19" x14ac:dyDescent="0.25">
      <c r="G31">
        <v>25</v>
      </c>
      <c r="H31" s="1">
        <v>9.7219999999999995</v>
      </c>
    </row>
    <row r="32" spans="2:19" x14ac:dyDescent="0.25">
      <c r="G32"/>
    </row>
    <row r="33" spans="7:7" x14ac:dyDescent="0.25">
      <c r="G33"/>
    </row>
    <row r="34" spans="7:7" x14ac:dyDescent="0.25">
      <c r="G34"/>
    </row>
    <row r="35" spans="7:7" x14ac:dyDescent="0.25">
      <c r="G35"/>
    </row>
    <row r="36" spans="7:7" x14ac:dyDescent="0.25">
      <c r="G36"/>
    </row>
    <row r="37" spans="7:7" x14ac:dyDescent="0.25">
      <c r="G37"/>
    </row>
    <row r="38" spans="7:7" x14ac:dyDescent="0.25">
      <c r="G38"/>
    </row>
    <row r="39" spans="7:7" x14ac:dyDescent="0.25">
      <c r="G39"/>
    </row>
    <row r="40" spans="7:7" x14ac:dyDescent="0.25">
      <c r="G40"/>
    </row>
    <row r="41" spans="7:7" x14ac:dyDescent="0.25">
      <c r="G41"/>
    </row>
    <row r="42" spans="7:7" x14ac:dyDescent="0.25">
      <c r="G42"/>
    </row>
    <row r="43" spans="7:7" x14ac:dyDescent="0.25">
      <c r="G43"/>
    </row>
    <row r="44" spans="7:7" x14ac:dyDescent="0.25">
      <c r="G44"/>
    </row>
    <row r="45" spans="7:7" x14ac:dyDescent="0.25">
      <c r="G45"/>
    </row>
    <row r="46" spans="7:7" x14ac:dyDescent="0.25">
      <c r="G46"/>
    </row>
    <row r="47" spans="7:7" x14ac:dyDescent="0.25">
      <c r="G47"/>
    </row>
    <row r="48" spans="7:7" x14ac:dyDescent="0.25">
      <c r="G48"/>
    </row>
    <row r="49" spans="7:7" x14ac:dyDescent="0.25">
      <c r="G49"/>
    </row>
    <row r="50" spans="7:7" x14ac:dyDescent="0.25">
      <c r="G50"/>
    </row>
    <row r="51" spans="7:7" x14ac:dyDescent="0.25">
      <c r="G51"/>
    </row>
    <row r="52" spans="7:7" x14ac:dyDescent="0.25">
      <c r="G52"/>
    </row>
    <row r="53" spans="7:7" x14ac:dyDescent="0.25">
      <c r="G53"/>
    </row>
    <row r="54" spans="7:7" x14ac:dyDescent="0.25">
      <c r="G54"/>
    </row>
    <row r="55" spans="7:7" x14ac:dyDescent="0.25">
      <c r="G55"/>
    </row>
    <row r="56" spans="7:7" x14ac:dyDescent="0.25">
      <c r="G56"/>
    </row>
  </sheetData>
  <mergeCells count="1">
    <mergeCell ref="B1:C1"/>
  </mergeCells>
  <pageMargins left="0.7" right="0.7" top="0.75" bottom="0.75" header="0.3" footer="0.3"/>
  <pageSetup orientation="portrait" r:id="rId1"/>
  <drawing r:id="rId2"/>
  <tableParts count="2">
    <tablePart r:id="rId3"/>
    <tablePart r:id="rId4"/>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C455CC-76E7-CC44-9EC2-1D75EB554310}">
  <sheetPr codeName="Sheet8">
    <tabColor theme="5" tint="0.39997558519241921"/>
  </sheetPr>
  <dimension ref="B1:S32"/>
  <sheetViews>
    <sheetView zoomScaleNormal="100" workbookViewId="0">
      <selection activeCell="C6" sqref="C6"/>
    </sheetView>
  </sheetViews>
  <sheetFormatPr defaultColWidth="9.140625" defaultRowHeight="15" x14ac:dyDescent="0.25"/>
  <cols>
    <col min="1" max="1" width="3" style="1" customWidth="1"/>
    <col min="2" max="2" width="46" style="1" customWidth="1"/>
    <col min="3" max="3" width="27.140625" style="1" customWidth="1"/>
    <col min="4" max="5" width="3" style="1" customWidth="1"/>
    <col min="6" max="6" width="9.140625" style="1"/>
    <col min="7" max="7" width="36.28515625" style="1" bestFit="1" customWidth="1"/>
    <col min="8" max="8" width="14.85546875" style="1" bestFit="1" customWidth="1"/>
    <col min="9" max="9" width="9.140625" style="1"/>
    <col min="10" max="10" width="23" style="1" customWidth="1"/>
    <col min="11" max="16384" width="9.140625" style="1"/>
  </cols>
  <sheetData>
    <row r="1" spans="2:19" ht="23.25" x14ac:dyDescent="0.25">
      <c r="B1" s="18" t="s">
        <v>28</v>
      </c>
      <c r="C1" s="18"/>
    </row>
    <row r="2" spans="2:19" ht="20.25" thickBot="1" x14ac:dyDescent="0.35">
      <c r="B2" s="8" t="s">
        <v>20</v>
      </c>
    </row>
    <row r="3" spans="2:19" ht="45.75" customHeight="1" thickTop="1" x14ac:dyDescent="0.25">
      <c r="B3" s="5" t="s">
        <v>22</v>
      </c>
    </row>
    <row r="4" spans="2:19" x14ac:dyDescent="0.25">
      <c r="B4" s="5"/>
    </row>
    <row r="5" spans="2:19" x14ac:dyDescent="0.25">
      <c r="B5" t="s">
        <v>16</v>
      </c>
      <c r="C5" s="13" t="s">
        <v>80</v>
      </c>
      <c r="G5" t="s">
        <v>14</v>
      </c>
      <c r="H5" t="s">
        <v>15</v>
      </c>
    </row>
    <row r="6" spans="2:19" x14ac:dyDescent="0.25">
      <c r="B6" t="s">
        <v>17</v>
      </c>
      <c r="C6" s="2" t="s">
        <v>21</v>
      </c>
      <c r="G6" t="s">
        <v>11</v>
      </c>
      <c r="H6" t="s">
        <v>13</v>
      </c>
      <c r="J6" t="s">
        <v>58</v>
      </c>
      <c r="K6">
        <f>MAX(G7:G31)</f>
        <v>25</v>
      </c>
      <c r="N6" s="1">
        <v>1</v>
      </c>
      <c r="O6" s="1">
        <v>38</v>
      </c>
      <c r="P6" s="1">
        <v>599</v>
      </c>
      <c r="Q6" s="1">
        <v>15.763</v>
      </c>
      <c r="R6" s="1">
        <v>4.5880000000000001</v>
      </c>
      <c r="S6" s="1">
        <v>255</v>
      </c>
    </row>
    <row r="7" spans="2:19" x14ac:dyDescent="0.25">
      <c r="B7" t="s">
        <v>18</v>
      </c>
      <c r="C7" s="6">
        <f ca="1">TODAY()</f>
        <v>45321</v>
      </c>
      <c r="G7">
        <v>1</v>
      </c>
      <c r="H7" s="1">
        <v>4.5880000000000001</v>
      </c>
      <c r="J7" t="s">
        <v>59</v>
      </c>
      <c r="K7">
        <f>VLOOKUP(K6,confidence_95_multiplier121416[#All],2,FALSE)</f>
        <v>2.0640000000000001</v>
      </c>
      <c r="N7" s="1">
        <v>2</v>
      </c>
      <c r="O7" s="1">
        <v>57</v>
      </c>
      <c r="P7" s="1">
        <v>1637</v>
      </c>
      <c r="Q7" s="1">
        <v>28.719000000000001</v>
      </c>
      <c r="R7" s="1">
        <v>12.538</v>
      </c>
      <c r="S7" s="1">
        <v>255</v>
      </c>
    </row>
    <row r="8" spans="2:19" x14ac:dyDescent="0.25">
      <c r="G8">
        <v>2</v>
      </c>
      <c r="H8" s="1">
        <v>12.538</v>
      </c>
      <c r="J8" t="s">
        <v>60</v>
      </c>
      <c r="K8">
        <f>AVERAGE(porosity_readings111315[x_i])</f>
        <v>9.7935600000000012</v>
      </c>
      <c r="N8" s="1">
        <v>3</v>
      </c>
      <c r="O8" s="1">
        <v>39</v>
      </c>
      <c r="P8" s="1">
        <v>803</v>
      </c>
      <c r="Q8" s="1">
        <v>20.59</v>
      </c>
      <c r="R8" s="1">
        <v>6.15</v>
      </c>
      <c r="S8" s="1">
        <v>255</v>
      </c>
    </row>
    <row r="9" spans="2:19" x14ac:dyDescent="0.25">
      <c r="B9" t="s">
        <v>55</v>
      </c>
      <c r="C9" s="3">
        <v>1000</v>
      </c>
      <c r="G9">
        <v>3</v>
      </c>
      <c r="H9" s="1">
        <v>6.15</v>
      </c>
      <c r="J9" t="s">
        <v>61</v>
      </c>
      <c r="K9">
        <f>_xlfn.STDEV.S(porosity_readings111315[x_i])</f>
        <v>4.380433607532475</v>
      </c>
      <c r="N9" s="1">
        <v>4</v>
      </c>
      <c r="O9" s="1">
        <v>75</v>
      </c>
      <c r="P9" s="1">
        <v>1048</v>
      </c>
      <c r="Q9" s="1">
        <v>13.973000000000001</v>
      </c>
      <c r="R9" s="1">
        <v>8.0269999999999992</v>
      </c>
      <c r="S9" s="1">
        <v>255</v>
      </c>
    </row>
    <row r="10" spans="2:19" x14ac:dyDescent="0.25">
      <c r="B10" t="s">
        <v>26</v>
      </c>
      <c r="C10" s="11">
        <f>HIP_APS_Al2O3_1000X!K8</f>
        <v>9.7935600000000012</v>
      </c>
      <c r="G10">
        <v>4</v>
      </c>
      <c r="H10" s="1">
        <v>8.0269999999999992</v>
      </c>
      <c r="J10" t="s">
        <v>62</v>
      </c>
      <c r="K10" s="7">
        <f>K9*K7/(SQRT(K6))</f>
        <v>1.8082429931894057</v>
      </c>
      <c r="N10" s="1">
        <v>5</v>
      </c>
      <c r="O10" s="1">
        <v>91</v>
      </c>
      <c r="P10" s="1">
        <v>1093</v>
      </c>
      <c r="Q10" s="1">
        <v>12.010999999999999</v>
      </c>
      <c r="R10" s="1">
        <v>8.3719999999999999</v>
      </c>
      <c r="S10" s="1">
        <v>255</v>
      </c>
    </row>
    <row r="11" spans="2:19" x14ac:dyDescent="0.25">
      <c r="B11" t="s">
        <v>25</v>
      </c>
      <c r="C11" s="9">
        <f>HIP_APS_Al2O3_1000X!K12</f>
        <v>4.5880000000000001</v>
      </c>
      <c r="G11">
        <v>5</v>
      </c>
      <c r="H11" s="1">
        <v>8.3719999999999999</v>
      </c>
      <c r="J11" t="s">
        <v>63</v>
      </c>
      <c r="K11" s="7">
        <f>K10/K8</f>
        <v>0.18463592331995776</v>
      </c>
      <c r="N11" s="1">
        <v>6</v>
      </c>
      <c r="O11" s="1">
        <v>63</v>
      </c>
      <c r="P11" s="1">
        <v>2216</v>
      </c>
      <c r="Q11" s="1">
        <v>35.174999999999997</v>
      </c>
      <c r="R11" s="1">
        <v>16.972999999999999</v>
      </c>
      <c r="S11" s="1">
        <v>255</v>
      </c>
    </row>
    <row r="12" spans="2:19" x14ac:dyDescent="0.25">
      <c r="B12" t="s">
        <v>24</v>
      </c>
      <c r="C12" s="9">
        <f>HIP_APS_Al2O3_1000X!K13</f>
        <v>22.672000000000001</v>
      </c>
      <c r="G12">
        <v>6</v>
      </c>
      <c r="H12" s="1">
        <v>16.972999999999999</v>
      </c>
      <c r="J12" t="s">
        <v>64</v>
      </c>
      <c r="K12">
        <f>MIN(porosity_readings111315[x_i])</f>
        <v>4.5880000000000001</v>
      </c>
      <c r="N12" s="1">
        <v>7</v>
      </c>
      <c r="O12" s="1">
        <v>65</v>
      </c>
      <c r="P12" s="1">
        <v>621</v>
      </c>
      <c r="Q12" s="1">
        <v>9.5540000000000003</v>
      </c>
      <c r="R12" s="1">
        <v>4.7560000000000002</v>
      </c>
      <c r="S12" s="1">
        <v>255</v>
      </c>
    </row>
    <row r="13" spans="2:19" x14ac:dyDescent="0.25">
      <c r="B13" t="s">
        <v>12</v>
      </c>
      <c r="C13" s="11">
        <f>HIP_APS_Al2O3_1000X!K9</f>
        <v>4.380433607532475</v>
      </c>
      <c r="G13">
        <v>7</v>
      </c>
      <c r="H13" s="1">
        <v>4.7560000000000002</v>
      </c>
      <c r="J13" t="s">
        <v>65</v>
      </c>
      <c r="K13">
        <f>MAX(porosity_readings111315[x_i])</f>
        <v>22.672000000000001</v>
      </c>
      <c r="N13" s="1">
        <v>8</v>
      </c>
      <c r="O13" s="1">
        <v>50</v>
      </c>
      <c r="P13" s="1">
        <v>1745</v>
      </c>
      <c r="Q13" s="1">
        <v>34.9</v>
      </c>
      <c r="R13" s="1">
        <v>13.366</v>
      </c>
      <c r="S13" s="1">
        <v>255</v>
      </c>
    </row>
    <row r="14" spans="2:19" x14ac:dyDescent="0.25">
      <c r="B14" t="s">
        <v>19</v>
      </c>
      <c r="C14" s="10">
        <f>HIP_APS_Al2O3_1000X!K10</f>
        <v>1.8082429931894057</v>
      </c>
      <c r="G14">
        <v>8</v>
      </c>
      <c r="H14" s="1">
        <v>13.366</v>
      </c>
      <c r="N14" s="1">
        <v>9</v>
      </c>
      <c r="O14" s="1">
        <v>82</v>
      </c>
      <c r="P14" s="1">
        <v>861</v>
      </c>
      <c r="Q14" s="1">
        <v>10.5</v>
      </c>
      <c r="R14" s="1">
        <v>6.5949999999999998</v>
      </c>
      <c r="S14" s="1">
        <v>255</v>
      </c>
    </row>
    <row r="15" spans="2:19" x14ac:dyDescent="0.25">
      <c r="B15" t="s">
        <v>27</v>
      </c>
      <c r="C15" s="14">
        <f>HIP_APS_Al2O3_1000X!K11</f>
        <v>0.18463592331995776</v>
      </c>
      <c r="G15">
        <v>9</v>
      </c>
      <c r="H15" s="1">
        <v>6.5949999999999998</v>
      </c>
      <c r="J15" t="s">
        <v>5</v>
      </c>
      <c r="K15"/>
      <c r="N15" s="1">
        <v>10</v>
      </c>
      <c r="O15" s="1">
        <v>54</v>
      </c>
      <c r="P15" s="1">
        <v>1410</v>
      </c>
      <c r="Q15" s="1">
        <v>26.111000000000001</v>
      </c>
      <c r="R15" s="1">
        <v>10.8</v>
      </c>
      <c r="S15" s="1">
        <v>255</v>
      </c>
    </row>
    <row r="16" spans="2:19" x14ac:dyDescent="0.25">
      <c r="B16" t="s">
        <v>23</v>
      </c>
      <c r="C16" s="2">
        <f>HIP_APS_Al2O3_1000X!K6</f>
        <v>25</v>
      </c>
      <c r="G16">
        <v>10</v>
      </c>
      <c r="H16" s="1">
        <v>10.8</v>
      </c>
      <c r="J16" t="s">
        <v>3</v>
      </c>
      <c r="K16" t="s">
        <v>4</v>
      </c>
      <c r="N16" s="1">
        <v>11</v>
      </c>
      <c r="O16" s="1">
        <v>66</v>
      </c>
      <c r="P16" s="1">
        <v>1083</v>
      </c>
      <c r="Q16" s="1">
        <v>16.408999999999999</v>
      </c>
      <c r="R16" s="1">
        <v>8.2949999999999999</v>
      </c>
      <c r="S16" s="1">
        <v>255</v>
      </c>
    </row>
    <row r="17" spans="2:19" x14ac:dyDescent="0.25">
      <c r="G17">
        <v>11</v>
      </c>
      <c r="H17" s="1">
        <v>8.2949999999999999</v>
      </c>
      <c r="J17">
        <v>20</v>
      </c>
      <c r="K17">
        <v>2.093</v>
      </c>
      <c r="N17" s="1">
        <v>12</v>
      </c>
      <c r="O17" s="1">
        <v>70</v>
      </c>
      <c r="P17" s="1">
        <v>1210</v>
      </c>
      <c r="Q17" s="1">
        <v>17.286000000000001</v>
      </c>
      <c r="R17" s="1">
        <v>9.2680000000000007</v>
      </c>
      <c r="S17" s="1">
        <v>255</v>
      </c>
    </row>
    <row r="18" spans="2:19" x14ac:dyDescent="0.25">
      <c r="B18" s="1" t="s">
        <v>66</v>
      </c>
      <c r="C18" s="3">
        <v>0</v>
      </c>
      <c r="G18">
        <v>12</v>
      </c>
      <c r="H18" s="1">
        <v>9.2680000000000007</v>
      </c>
      <c r="J18">
        <v>21</v>
      </c>
      <c r="K18">
        <v>2.0859999999999999</v>
      </c>
      <c r="N18" s="1">
        <v>13</v>
      </c>
      <c r="O18" s="1">
        <v>58</v>
      </c>
      <c r="P18" s="1">
        <v>873</v>
      </c>
      <c r="Q18" s="1">
        <v>15.052</v>
      </c>
      <c r="R18" s="1">
        <v>6.6870000000000003</v>
      </c>
      <c r="S18" s="1">
        <v>255</v>
      </c>
    </row>
    <row r="19" spans="2:19" x14ac:dyDescent="0.25">
      <c r="B19" s="1" t="s">
        <v>53</v>
      </c>
      <c r="C19" s="2">
        <v>0</v>
      </c>
      <c r="G19">
        <v>13</v>
      </c>
      <c r="H19" s="1">
        <v>6.6870000000000003</v>
      </c>
      <c r="J19">
        <v>22</v>
      </c>
      <c r="K19">
        <v>2.08</v>
      </c>
      <c r="N19" s="1">
        <v>14</v>
      </c>
      <c r="O19" s="1">
        <v>65</v>
      </c>
      <c r="P19" s="1">
        <v>1161</v>
      </c>
      <c r="Q19" s="1">
        <v>17.861999999999998</v>
      </c>
      <c r="R19" s="1">
        <v>8.8919999999999995</v>
      </c>
      <c r="S19" s="1">
        <v>255</v>
      </c>
    </row>
    <row r="20" spans="2:19" x14ac:dyDescent="0.25">
      <c r="B20" s="1" t="s">
        <v>54</v>
      </c>
      <c r="C20" s="2">
        <v>86</v>
      </c>
      <c r="G20">
        <v>14</v>
      </c>
      <c r="H20" s="1">
        <v>8.8919999999999995</v>
      </c>
      <c r="J20">
        <v>23</v>
      </c>
      <c r="K20">
        <v>2.0739999999999998</v>
      </c>
      <c r="N20" s="1">
        <v>15</v>
      </c>
      <c r="O20" s="1">
        <v>50</v>
      </c>
      <c r="P20" s="1">
        <v>1582</v>
      </c>
      <c r="Q20" s="1">
        <v>31.64</v>
      </c>
      <c r="R20" s="1">
        <v>12.117000000000001</v>
      </c>
      <c r="S20" s="1">
        <v>255</v>
      </c>
    </row>
    <row r="21" spans="2:19" x14ac:dyDescent="0.25">
      <c r="B21" s="1" t="s">
        <v>67</v>
      </c>
      <c r="G21">
        <v>15</v>
      </c>
      <c r="H21" s="1">
        <v>12.117000000000001</v>
      </c>
      <c r="J21">
        <v>24</v>
      </c>
      <c r="K21">
        <v>2.069</v>
      </c>
      <c r="N21" s="1">
        <v>16</v>
      </c>
      <c r="O21" s="1">
        <v>67</v>
      </c>
      <c r="P21" s="1">
        <v>975</v>
      </c>
      <c r="Q21" s="1">
        <v>14.552</v>
      </c>
      <c r="R21" s="1">
        <v>7.468</v>
      </c>
      <c r="S21" s="1">
        <v>255</v>
      </c>
    </row>
    <row r="22" spans="2:19" x14ac:dyDescent="0.25">
      <c r="G22">
        <v>16</v>
      </c>
      <c r="H22" s="1">
        <v>7.468</v>
      </c>
      <c r="J22">
        <v>25</v>
      </c>
      <c r="K22">
        <v>2.0640000000000001</v>
      </c>
      <c r="N22" s="1">
        <v>17</v>
      </c>
      <c r="O22" s="1">
        <v>55</v>
      </c>
      <c r="P22" s="1">
        <v>993</v>
      </c>
      <c r="Q22" s="1">
        <v>18.055</v>
      </c>
      <c r="R22" s="1">
        <v>7.6059999999999999</v>
      </c>
      <c r="S22" s="1">
        <v>255</v>
      </c>
    </row>
    <row r="23" spans="2:19" x14ac:dyDescent="0.25">
      <c r="C23" s="4"/>
      <c r="G23">
        <v>17</v>
      </c>
      <c r="H23" s="1">
        <v>7.6059999999999999</v>
      </c>
      <c r="J23">
        <v>26</v>
      </c>
      <c r="K23">
        <v>2.06</v>
      </c>
      <c r="N23" s="1">
        <v>18</v>
      </c>
      <c r="O23" s="1">
        <v>55</v>
      </c>
      <c r="P23" s="1">
        <v>1030</v>
      </c>
      <c r="Q23" s="1">
        <v>18.727</v>
      </c>
      <c r="R23" s="1">
        <v>7.8890000000000002</v>
      </c>
      <c r="S23" s="1">
        <v>255</v>
      </c>
    </row>
    <row r="24" spans="2:19" x14ac:dyDescent="0.25">
      <c r="G24">
        <v>18</v>
      </c>
      <c r="H24" s="1">
        <v>7.8890000000000002</v>
      </c>
      <c r="J24">
        <v>27</v>
      </c>
      <c r="K24">
        <v>2.056</v>
      </c>
      <c r="N24" s="1">
        <v>19</v>
      </c>
      <c r="O24" s="1">
        <v>76</v>
      </c>
      <c r="P24" s="1">
        <v>1478</v>
      </c>
      <c r="Q24" s="1">
        <v>19.446999999999999</v>
      </c>
      <c r="R24" s="1">
        <v>11.32</v>
      </c>
      <c r="S24" s="1">
        <v>255</v>
      </c>
    </row>
    <row r="25" spans="2:19" x14ac:dyDescent="0.25">
      <c r="G25">
        <v>19</v>
      </c>
      <c r="H25" s="1">
        <v>11.32</v>
      </c>
      <c r="J25">
        <v>28</v>
      </c>
      <c r="K25">
        <v>2.052</v>
      </c>
      <c r="N25" s="1">
        <v>20</v>
      </c>
      <c r="O25" s="1">
        <v>108</v>
      </c>
      <c r="P25" s="1">
        <v>872</v>
      </c>
      <c r="Q25" s="1">
        <v>8.0739999999999998</v>
      </c>
      <c r="R25" s="1">
        <v>6.6790000000000003</v>
      </c>
      <c r="S25" s="1">
        <v>255</v>
      </c>
    </row>
    <row r="26" spans="2:19" x14ac:dyDescent="0.25">
      <c r="G26">
        <v>20</v>
      </c>
      <c r="H26" s="1">
        <v>6.6790000000000003</v>
      </c>
      <c r="J26">
        <v>29</v>
      </c>
      <c r="K26">
        <v>2.048</v>
      </c>
      <c r="N26" s="1">
        <v>21</v>
      </c>
      <c r="O26" s="1">
        <v>46</v>
      </c>
      <c r="P26" s="1">
        <v>2498</v>
      </c>
      <c r="Q26" s="1">
        <v>54.304000000000002</v>
      </c>
      <c r="R26" s="1">
        <v>19.132999999999999</v>
      </c>
      <c r="S26" s="1">
        <v>255</v>
      </c>
    </row>
    <row r="27" spans="2:19" x14ac:dyDescent="0.25">
      <c r="G27">
        <v>21</v>
      </c>
      <c r="H27" s="1">
        <v>19.132999999999999</v>
      </c>
      <c r="J27">
        <v>30</v>
      </c>
      <c r="K27">
        <v>2.0449999999999999</v>
      </c>
      <c r="N27" s="1">
        <v>22</v>
      </c>
      <c r="O27" s="1">
        <v>43</v>
      </c>
      <c r="P27" s="1">
        <v>1207</v>
      </c>
      <c r="Q27" s="1">
        <v>28.07</v>
      </c>
      <c r="R27" s="1">
        <v>9.2449999999999992</v>
      </c>
      <c r="S27" s="1">
        <v>255</v>
      </c>
    </row>
    <row r="28" spans="2:19" x14ac:dyDescent="0.25">
      <c r="G28">
        <v>22</v>
      </c>
      <c r="H28" s="1">
        <v>9.2449999999999992</v>
      </c>
      <c r="J28">
        <v>40</v>
      </c>
      <c r="K28">
        <v>2.02</v>
      </c>
      <c r="N28" s="1">
        <v>23</v>
      </c>
      <c r="O28" s="1">
        <v>61</v>
      </c>
      <c r="P28" s="1">
        <v>967</v>
      </c>
      <c r="Q28" s="1">
        <v>15.852</v>
      </c>
      <c r="R28" s="1">
        <v>7.407</v>
      </c>
      <c r="S28" s="1">
        <v>255</v>
      </c>
    </row>
    <row r="29" spans="2:19" x14ac:dyDescent="0.25">
      <c r="G29">
        <v>23</v>
      </c>
      <c r="H29" s="1">
        <v>7.407</v>
      </c>
      <c r="J29">
        <v>60</v>
      </c>
      <c r="K29">
        <v>2</v>
      </c>
      <c r="N29" s="1">
        <v>24</v>
      </c>
      <c r="O29" s="1">
        <v>50</v>
      </c>
      <c r="P29" s="1">
        <v>1044</v>
      </c>
      <c r="Q29" s="1">
        <v>20.88</v>
      </c>
      <c r="R29" s="1">
        <v>7.9960000000000004</v>
      </c>
      <c r="S29" s="1">
        <v>255</v>
      </c>
    </row>
    <row r="30" spans="2:19" x14ac:dyDescent="0.25">
      <c r="G30">
        <v>24</v>
      </c>
      <c r="H30" s="1">
        <v>7.9960000000000004</v>
      </c>
      <c r="N30" s="1">
        <v>25</v>
      </c>
      <c r="O30" s="1">
        <v>25</v>
      </c>
      <c r="P30" s="1">
        <v>2960</v>
      </c>
      <c r="Q30" s="1">
        <v>118.4</v>
      </c>
      <c r="R30" s="1">
        <v>22.672000000000001</v>
      </c>
      <c r="S30" s="1">
        <v>255</v>
      </c>
    </row>
    <row r="31" spans="2:19" x14ac:dyDescent="0.25">
      <c r="G31">
        <v>25</v>
      </c>
      <c r="H31" s="1">
        <v>22.672000000000001</v>
      </c>
    </row>
    <row r="32" spans="2:19" x14ac:dyDescent="0.25">
      <c r="G32"/>
      <c r="H32"/>
    </row>
  </sheetData>
  <mergeCells count="1">
    <mergeCell ref="B1:C1"/>
  </mergeCells>
  <pageMargins left="0.7" right="0.7" top="0.75" bottom="0.75" header="0.3" footer="0.3"/>
  <pageSetup orientation="portrait" r:id="rId1"/>
  <drawing r:id="rId2"/>
  <tableParts count="2">
    <tablePart r:id="rId3"/>
    <tablePart r:id="rId4"/>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5C3365-80C0-4B40-956E-34DD492A65DF}">
  <sheetPr codeName="Sheet24">
    <tabColor theme="5" tint="0.39997558519241921"/>
  </sheetPr>
  <dimension ref="B1:S32"/>
  <sheetViews>
    <sheetView zoomScaleNormal="100" workbookViewId="0">
      <selection activeCell="T49" sqref="T49"/>
    </sheetView>
  </sheetViews>
  <sheetFormatPr defaultColWidth="9.140625" defaultRowHeight="15" x14ac:dyDescent="0.25"/>
  <cols>
    <col min="1" max="1" width="3" style="1" customWidth="1"/>
    <col min="2" max="2" width="46" style="1" customWidth="1"/>
    <col min="3" max="3" width="27.140625" style="1" customWidth="1"/>
    <col min="4" max="5" width="3" style="1" customWidth="1"/>
    <col min="6" max="6" width="9.140625" style="1"/>
    <col min="7" max="7" width="36.28515625" style="1" bestFit="1" customWidth="1"/>
    <col min="8" max="8" width="14.85546875" style="1" bestFit="1" customWidth="1"/>
    <col min="9" max="9" width="9.140625" style="1"/>
    <col min="10" max="10" width="23" style="1" customWidth="1"/>
    <col min="11" max="16384" width="9.140625" style="1"/>
  </cols>
  <sheetData>
    <row r="1" spans="2:19" ht="23.25" x14ac:dyDescent="0.25">
      <c r="B1" s="18" t="s">
        <v>28</v>
      </c>
      <c r="C1" s="18"/>
    </row>
    <row r="2" spans="2:19" ht="20.25" thickBot="1" x14ac:dyDescent="0.35">
      <c r="B2" s="8" t="s">
        <v>20</v>
      </c>
    </row>
    <row r="3" spans="2:19" ht="45.75" customHeight="1" thickTop="1" x14ac:dyDescent="0.25">
      <c r="B3" s="5" t="s">
        <v>22</v>
      </c>
    </row>
    <row r="4" spans="2:19" x14ac:dyDescent="0.25">
      <c r="B4" s="5"/>
    </row>
    <row r="5" spans="2:19" x14ac:dyDescent="0.25">
      <c r="B5" t="s">
        <v>16</v>
      </c>
      <c r="C5" s="13" t="s">
        <v>80</v>
      </c>
      <c r="G5" t="s">
        <v>14</v>
      </c>
      <c r="H5" t="s">
        <v>15</v>
      </c>
    </row>
    <row r="6" spans="2:19" x14ac:dyDescent="0.25">
      <c r="B6" t="s">
        <v>17</v>
      </c>
      <c r="C6" s="2" t="s">
        <v>21</v>
      </c>
      <c r="G6" t="s">
        <v>11</v>
      </c>
      <c r="H6" t="s">
        <v>13</v>
      </c>
      <c r="J6" t="s">
        <v>58</v>
      </c>
      <c r="K6">
        <f>MAX(G7:G31)</f>
        <v>25</v>
      </c>
      <c r="N6" s="1">
        <v>1</v>
      </c>
      <c r="O6" s="1">
        <v>84</v>
      </c>
      <c r="P6" s="1">
        <v>2250</v>
      </c>
      <c r="Q6" s="1">
        <v>26.786000000000001</v>
      </c>
      <c r="R6" s="1">
        <v>12.976000000000001</v>
      </c>
      <c r="S6" s="1">
        <v>255</v>
      </c>
    </row>
    <row r="7" spans="2:19" x14ac:dyDescent="0.25">
      <c r="B7" t="s">
        <v>18</v>
      </c>
      <c r="C7" s="6">
        <f ca="1">TODAY()</f>
        <v>45321</v>
      </c>
      <c r="G7">
        <v>1</v>
      </c>
      <c r="H7" s="1">
        <v>12.976000000000001</v>
      </c>
      <c r="J7" t="s">
        <v>59</v>
      </c>
      <c r="K7">
        <f>VLOOKUP(K6,confidence_95_multiplier12141650[#All],2,FALSE)</f>
        <v>2.0640000000000001</v>
      </c>
      <c r="N7" s="1">
        <v>2</v>
      </c>
      <c r="O7" s="1">
        <v>57</v>
      </c>
      <c r="P7" s="1">
        <v>2551</v>
      </c>
      <c r="Q7" s="1">
        <v>44.753999999999998</v>
      </c>
      <c r="R7" s="1">
        <v>14.712</v>
      </c>
      <c r="S7" s="1">
        <v>255</v>
      </c>
    </row>
    <row r="8" spans="2:19" x14ac:dyDescent="0.25">
      <c r="G8">
        <v>2</v>
      </c>
      <c r="H8" s="1">
        <v>14.712</v>
      </c>
      <c r="J8" t="s">
        <v>60</v>
      </c>
      <c r="K8">
        <f>AVERAGE(porosity_readings11131549[x_i])</f>
        <v>11.116359999999997</v>
      </c>
      <c r="N8" s="1">
        <v>3</v>
      </c>
      <c r="O8" s="1">
        <v>58</v>
      </c>
      <c r="P8" s="1">
        <v>3598</v>
      </c>
      <c r="Q8" s="1">
        <v>62.033999999999999</v>
      </c>
      <c r="R8" s="1">
        <v>20.75</v>
      </c>
      <c r="S8" s="1">
        <v>255</v>
      </c>
    </row>
    <row r="9" spans="2:19" x14ac:dyDescent="0.25">
      <c r="B9" t="s">
        <v>55</v>
      </c>
      <c r="C9" s="3">
        <v>1000</v>
      </c>
      <c r="G9">
        <v>3</v>
      </c>
      <c r="H9" s="1">
        <v>20.75</v>
      </c>
      <c r="J9" t="s">
        <v>61</v>
      </c>
      <c r="K9">
        <f>_xlfn.STDEV.S(porosity_readings11131549[x_i])</f>
        <v>4.691666946832445</v>
      </c>
      <c r="N9" s="1">
        <v>4</v>
      </c>
      <c r="O9" s="1">
        <v>65</v>
      </c>
      <c r="P9" s="1">
        <v>3394</v>
      </c>
      <c r="Q9" s="1">
        <v>52.215000000000003</v>
      </c>
      <c r="R9" s="1">
        <v>19.573</v>
      </c>
      <c r="S9" s="1">
        <v>255</v>
      </c>
    </row>
    <row r="10" spans="2:19" x14ac:dyDescent="0.25">
      <c r="B10" t="s">
        <v>26</v>
      </c>
      <c r="C10" s="11">
        <f>'HIP_APS_Al2O3_1000X (with crack'!K8</f>
        <v>11.116359999999997</v>
      </c>
      <c r="G10">
        <v>4</v>
      </c>
      <c r="H10" s="1">
        <v>19.573</v>
      </c>
      <c r="J10" t="s">
        <v>62</v>
      </c>
      <c r="K10" s="7">
        <f>K9*K7/(SQRT(K6))</f>
        <v>1.9367201156524334</v>
      </c>
      <c r="N10" s="1">
        <v>5</v>
      </c>
      <c r="O10" s="1">
        <v>106</v>
      </c>
      <c r="P10" s="1">
        <v>1331</v>
      </c>
      <c r="Q10" s="1">
        <v>12.557</v>
      </c>
      <c r="R10" s="1">
        <v>7.6760000000000002</v>
      </c>
      <c r="S10" s="1">
        <v>255</v>
      </c>
    </row>
    <row r="11" spans="2:19" x14ac:dyDescent="0.25">
      <c r="B11" t="s">
        <v>25</v>
      </c>
      <c r="C11" s="9">
        <f>'HIP_APS_Al2O3_1000X (with crack'!K12</f>
        <v>5.2830000000000004</v>
      </c>
      <c r="G11">
        <v>5</v>
      </c>
      <c r="H11" s="1">
        <v>7.6760000000000002</v>
      </c>
      <c r="J11" t="s">
        <v>63</v>
      </c>
      <c r="K11" s="7">
        <f>K10/K8</f>
        <v>0.17422250769608344</v>
      </c>
      <c r="N11" s="1">
        <v>6</v>
      </c>
      <c r="O11" s="1">
        <v>58</v>
      </c>
      <c r="P11" s="1">
        <v>1036</v>
      </c>
      <c r="Q11" s="1">
        <v>17.861999999999998</v>
      </c>
      <c r="R11" s="1">
        <v>5.9749999999999996</v>
      </c>
      <c r="S11" s="1">
        <v>255</v>
      </c>
    </row>
    <row r="12" spans="2:19" x14ac:dyDescent="0.25">
      <c r="B12" t="s">
        <v>24</v>
      </c>
      <c r="C12" s="9">
        <f>'HIP_APS_Al2O3_1000X (with crack'!K13</f>
        <v>20.75</v>
      </c>
      <c r="G12">
        <v>6</v>
      </c>
      <c r="H12" s="1">
        <v>5.9749999999999996</v>
      </c>
      <c r="J12" t="s">
        <v>64</v>
      </c>
      <c r="K12">
        <f>MIN(porosity_readings11131549[x_i])</f>
        <v>5.2830000000000004</v>
      </c>
      <c r="N12" s="1">
        <v>7</v>
      </c>
      <c r="O12" s="1">
        <v>71</v>
      </c>
      <c r="P12" s="1">
        <v>2259</v>
      </c>
      <c r="Q12" s="1">
        <v>31.817</v>
      </c>
      <c r="R12" s="1">
        <v>13.028</v>
      </c>
      <c r="S12" s="1">
        <v>255</v>
      </c>
    </row>
    <row r="13" spans="2:19" x14ac:dyDescent="0.25">
      <c r="B13" t="s">
        <v>12</v>
      </c>
      <c r="C13" s="11">
        <f>'HIP_APS_Al2O3_1000X (with crack'!K9</f>
        <v>4.691666946832445</v>
      </c>
      <c r="G13">
        <v>7</v>
      </c>
      <c r="H13" s="1">
        <v>13.028</v>
      </c>
      <c r="J13" t="s">
        <v>65</v>
      </c>
      <c r="K13">
        <f>MAX(porosity_readings11131549[x_i])</f>
        <v>20.75</v>
      </c>
      <c r="N13" s="1">
        <v>8</v>
      </c>
      <c r="O13" s="1">
        <v>63</v>
      </c>
      <c r="P13" s="1">
        <v>1070</v>
      </c>
      <c r="Q13" s="1">
        <v>16.984000000000002</v>
      </c>
      <c r="R13" s="1">
        <v>6.1710000000000003</v>
      </c>
      <c r="S13" s="1">
        <v>255</v>
      </c>
    </row>
    <row r="14" spans="2:19" x14ac:dyDescent="0.25">
      <c r="B14" t="s">
        <v>19</v>
      </c>
      <c r="C14" s="10">
        <f>'HIP_APS_Al2O3_1000X (with crack'!K10</f>
        <v>1.9367201156524334</v>
      </c>
      <c r="G14">
        <v>8</v>
      </c>
      <c r="H14" s="1">
        <v>6.1710000000000003</v>
      </c>
      <c r="N14" s="1">
        <v>9</v>
      </c>
      <c r="O14" s="1">
        <v>91</v>
      </c>
      <c r="P14" s="1">
        <v>1493</v>
      </c>
      <c r="Q14" s="1">
        <v>16.407</v>
      </c>
      <c r="R14" s="1">
        <v>8.61</v>
      </c>
      <c r="S14" s="1">
        <v>255</v>
      </c>
    </row>
    <row r="15" spans="2:19" x14ac:dyDescent="0.25">
      <c r="B15" t="s">
        <v>27</v>
      </c>
      <c r="C15" s="14">
        <f>'HIP_APS_Al2O3_1000X (with crack'!K11</f>
        <v>0.17422250769608344</v>
      </c>
      <c r="G15">
        <v>9</v>
      </c>
      <c r="H15" s="1">
        <v>8.61</v>
      </c>
      <c r="J15" t="s">
        <v>5</v>
      </c>
      <c r="K15"/>
      <c r="N15" s="1">
        <v>10</v>
      </c>
      <c r="O15" s="1">
        <v>118</v>
      </c>
      <c r="P15" s="1">
        <v>2240</v>
      </c>
      <c r="Q15" s="1">
        <v>18.983000000000001</v>
      </c>
      <c r="R15" s="1">
        <v>12.917999999999999</v>
      </c>
      <c r="S15" s="1">
        <v>255</v>
      </c>
    </row>
    <row r="16" spans="2:19" x14ac:dyDescent="0.25">
      <c r="B16" t="s">
        <v>23</v>
      </c>
      <c r="C16" s="2">
        <f>'HIP_APS_Al2O3_1000X (with crack'!K6</f>
        <v>25</v>
      </c>
      <c r="G16">
        <v>10</v>
      </c>
      <c r="H16" s="1">
        <v>12.917999999999999</v>
      </c>
      <c r="J16" t="s">
        <v>3</v>
      </c>
      <c r="K16" t="s">
        <v>4</v>
      </c>
      <c r="N16" s="1">
        <v>11</v>
      </c>
      <c r="O16" s="1">
        <v>103</v>
      </c>
      <c r="P16" s="1">
        <v>2645</v>
      </c>
      <c r="Q16" s="1">
        <v>25.68</v>
      </c>
      <c r="R16" s="1">
        <v>15.254</v>
      </c>
      <c r="S16" s="1">
        <v>255</v>
      </c>
    </row>
    <row r="17" spans="2:19" x14ac:dyDescent="0.25">
      <c r="G17">
        <v>11</v>
      </c>
      <c r="H17" s="1">
        <v>15.254</v>
      </c>
      <c r="J17">
        <v>20</v>
      </c>
      <c r="K17">
        <v>2.093</v>
      </c>
      <c r="N17" s="1">
        <v>12</v>
      </c>
      <c r="O17" s="1">
        <v>86</v>
      </c>
      <c r="P17" s="1">
        <v>1066</v>
      </c>
      <c r="Q17" s="1">
        <v>12.395</v>
      </c>
      <c r="R17" s="1">
        <v>6.1479999999999997</v>
      </c>
      <c r="S17" s="1">
        <v>255</v>
      </c>
    </row>
    <row r="18" spans="2:19" x14ac:dyDescent="0.25">
      <c r="B18" s="1" t="s">
        <v>66</v>
      </c>
      <c r="C18" s="3">
        <v>0</v>
      </c>
      <c r="G18">
        <v>12</v>
      </c>
      <c r="H18" s="1">
        <v>6.1479999999999997</v>
      </c>
      <c r="J18">
        <v>21</v>
      </c>
      <c r="K18">
        <v>2.0859999999999999</v>
      </c>
      <c r="N18" s="1">
        <v>13</v>
      </c>
      <c r="O18" s="1">
        <v>59</v>
      </c>
      <c r="P18" s="1">
        <v>2120</v>
      </c>
      <c r="Q18" s="1">
        <v>35.932000000000002</v>
      </c>
      <c r="R18" s="1">
        <v>12.226000000000001</v>
      </c>
      <c r="S18" s="1">
        <v>255</v>
      </c>
    </row>
    <row r="19" spans="2:19" x14ac:dyDescent="0.25">
      <c r="B19" s="1" t="s">
        <v>53</v>
      </c>
      <c r="C19" s="2">
        <v>0</v>
      </c>
      <c r="G19">
        <v>13</v>
      </c>
      <c r="H19" s="1">
        <v>12.226000000000001</v>
      </c>
      <c r="J19">
        <v>22</v>
      </c>
      <c r="K19">
        <v>2.08</v>
      </c>
      <c r="N19" s="1">
        <v>14</v>
      </c>
      <c r="O19" s="1">
        <v>108</v>
      </c>
      <c r="P19" s="1">
        <v>1255</v>
      </c>
      <c r="Q19" s="1">
        <v>11.62</v>
      </c>
      <c r="R19" s="1">
        <v>7.2380000000000004</v>
      </c>
      <c r="S19" s="1">
        <v>255</v>
      </c>
    </row>
    <row r="20" spans="2:19" x14ac:dyDescent="0.25">
      <c r="B20" s="1" t="s">
        <v>54</v>
      </c>
      <c r="C20" s="2">
        <v>86</v>
      </c>
      <c r="G20">
        <v>14</v>
      </c>
      <c r="H20" s="1">
        <v>7.2380000000000004</v>
      </c>
      <c r="J20">
        <v>23</v>
      </c>
      <c r="K20">
        <v>2.0739999999999998</v>
      </c>
      <c r="N20" s="1">
        <v>15</v>
      </c>
      <c r="O20" s="1">
        <v>64</v>
      </c>
      <c r="P20" s="1">
        <v>2642</v>
      </c>
      <c r="Q20" s="1">
        <v>41.280999999999999</v>
      </c>
      <c r="R20" s="1">
        <v>15.236000000000001</v>
      </c>
      <c r="S20" s="1">
        <v>255</v>
      </c>
    </row>
    <row r="21" spans="2:19" x14ac:dyDescent="0.25">
      <c r="B21" s="1" t="s">
        <v>67</v>
      </c>
      <c r="G21">
        <v>15</v>
      </c>
      <c r="H21" s="1">
        <v>15.236000000000001</v>
      </c>
      <c r="J21">
        <v>24</v>
      </c>
      <c r="K21">
        <v>2.069</v>
      </c>
      <c r="N21" s="1">
        <v>16</v>
      </c>
      <c r="O21" s="1">
        <v>63</v>
      </c>
      <c r="P21" s="1">
        <v>1353</v>
      </c>
      <c r="Q21" s="1">
        <v>21.475999999999999</v>
      </c>
      <c r="R21" s="1">
        <v>7.8029999999999999</v>
      </c>
      <c r="S21" s="1">
        <v>255</v>
      </c>
    </row>
    <row r="22" spans="2:19" x14ac:dyDescent="0.25">
      <c r="G22">
        <v>16</v>
      </c>
      <c r="H22" s="1">
        <v>7.8029999999999999</v>
      </c>
      <c r="J22">
        <v>25</v>
      </c>
      <c r="K22">
        <v>2.0640000000000001</v>
      </c>
      <c r="N22" s="1">
        <v>17</v>
      </c>
      <c r="O22" s="1">
        <v>95</v>
      </c>
      <c r="P22" s="1">
        <v>1540</v>
      </c>
      <c r="Q22" s="1">
        <v>16.210999999999999</v>
      </c>
      <c r="R22" s="1">
        <v>8.8810000000000002</v>
      </c>
      <c r="S22" s="1">
        <v>255</v>
      </c>
    </row>
    <row r="23" spans="2:19" x14ac:dyDescent="0.25">
      <c r="C23" s="4"/>
      <c r="G23">
        <v>17</v>
      </c>
      <c r="H23" s="1">
        <v>8.8810000000000002</v>
      </c>
      <c r="J23">
        <v>26</v>
      </c>
      <c r="K23">
        <v>2.06</v>
      </c>
      <c r="N23" s="1">
        <v>18</v>
      </c>
      <c r="O23" s="1">
        <v>92</v>
      </c>
      <c r="P23" s="1">
        <v>1314</v>
      </c>
      <c r="Q23" s="1">
        <v>14.282999999999999</v>
      </c>
      <c r="R23" s="1">
        <v>7.5780000000000003</v>
      </c>
      <c r="S23" s="1">
        <v>255</v>
      </c>
    </row>
    <row r="24" spans="2:19" x14ac:dyDescent="0.25">
      <c r="G24">
        <v>18</v>
      </c>
      <c r="H24" s="1">
        <v>7.5780000000000003</v>
      </c>
      <c r="J24">
        <v>27</v>
      </c>
      <c r="K24">
        <v>2.056</v>
      </c>
      <c r="N24" s="1">
        <v>19</v>
      </c>
      <c r="O24" s="1">
        <v>81</v>
      </c>
      <c r="P24" s="1">
        <v>1814</v>
      </c>
      <c r="Q24" s="1">
        <v>22.395</v>
      </c>
      <c r="R24" s="1">
        <v>10.461</v>
      </c>
      <c r="S24" s="1">
        <v>255</v>
      </c>
    </row>
    <row r="25" spans="2:19" x14ac:dyDescent="0.25">
      <c r="G25">
        <v>19</v>
      </c>
      <c r="H25" s="1">
        <v>10.461</v>
      </c>
      <c r="J25">
        <v>28</v>
      </c>
      <c r="K25">
        <v>2.052</v>
      </c>
      <c r="N25" s="1">
        <v>20</v>
      </c>
      <c r="O25" s="1">
        <v>116</v>
      </c>
      <c r="P25" s="1">
        <v>916</v>
      </c>
      <c r="Q25" s="1">
        <v>7.8970000000000002</v>
      </c>
      <c r="R25" s="1">
        <v>5.2830000000000004</v>
      </c>
      <c r="S25" s="1">
        <v>255</v>
      </c>
    </row>
    <row r="26" spans="2:19" x14ac:dyDescent="0.25">
      <c r="G26">
        <v>20</v>
      </c>
      <c r="H26" s="1">
        <v>5.2830000000000004</v>
      </c>
      <c r="J26">
        <v>29</v>
      </c>
      <c r="K26">
        <v>2.048</v>
      </c>
      <c r="N26" s="1">
        <v>21</v>
      </c>
      <c r="O26" s="1">
        <v>76</v>
      </c>
      <c r="P26" s="1">
        <v>2872</v>
      </c>
      <c r="Q26" s="1">
        <v>37.789000000000001</v>
      </c>
      <c r="R26" s="1">
        <v>16.562999999999999</v>
      </c>
      <c r="S26" s="1">
        <v>255</v>
      </c>
    </row>
    <row r="27" spans="2:19" x14ac:dyDescent="0.25">
      <c r="G27">
        <v>21</v>
      </c>
      <c r="H27" s="1">
        <v>16.562999999999999</v>
      </c>
      <c r="J27">
        <v>30</v>
      </c>
      <c r="K27">
        <v>2.0449999999999999</v>
      </c>
      <c r="N27" s="1">
        <v>22</v>
      </c>
      <c r="O27" s="1">
        <v>54</v>
      </c>
      <c r="P27" s="1">
        <v>1434</v>
      </c>
      <c r="Q27" s="1">
        <v>26.556000000000001</v>
      </c>
      <c r="R27" s="1">
        <v>8.27</v>
      </c>
      <c r="S27" s="1">
        <v>255</v>
      </c>
    </row>
    <row r="28" spans="2:19" x14ac:dyDescent="0.25">
      <c r="G28">
        <v>22</v>
      </c>
      <c r="H28" s="1">
        <v>8.27</v>
      </c>
      <c r="J28">
        <v>40</v>
      </c>
      <c r="K28">
        <v>2.02</v>
      </c>
      <c r="N28" s="1">
        <v>23</v>
      </c>
      <c r="O28" s="1">
        <v>69</v>
      </c>
      <c r="P28" s="1">
        <v>1166</v>
      </c>
      <c r="Q28" s="1">
        <v>16.899000000000001</v>
      </c>
      <c r="R28" s="1">
        <v>6.7240000000000002</v>
      </c>
      <c r="S28" s="1">
        <v>255</v>
      </c>
    </row>
    <row r="29" spans="2:19" x14ac:dyDescent="0.25">
      <c r="G29">
        <v>23</v>
      </c>
      <c r="H29" s="1">
        <v>6.7240000000000002</v>
      </c>
      <c r="J29">
        <v>60</v>
      </c>
      <c r="K29">
        <v>2</v>
      </c>
      <c r="N29" s="1">
        <v>24</v>
      </c>
      <c r="O29" s="1">
        <v>79</v>
      </c>
      <c r="P29" s="1">
        <v>1459</v>
      </c>
      <c r="Q29" s="1">
        <v>18.468</v>
      </c>
      <c r="R29" s="1">
        <v>8.4139999999999997</v>
      </c>
      <c r="S29" s="1">
        <v>255</v>
      </c>
    </row>
    <row r="30" spans="2:19" x14ac:dyDescent="0.25">
      <c r="G30">
        <v>24</v>
      </c>
      <c r="H30" s="1">
        <v>8.4139999999999997</v>
      </c>
      <c r="N30" s="1">
        <v>25</v>
      </c>
      <c r="O30" s="1">
        <v>52</v>
      </c>
      <c r="P30" s="1">
        <v>3371</v>
      </c>
      <c r="Q30" s="1">
        <v>64.826999999999998</v>
      </c>
      <c r="R30" s="1">
        <v>19.440999999999999</v>
      </c>
      <c r="S30" s="1">
        <v>255</v>
      </c>
    </row>
    <row r="31" spans="2:19" x14ac:dyDescent="0.25">
      <c r="G31">
        <v>25</v>
      </c>
      <c r="H31" s="1">
        <v>19.440999999999999</v>
      </c>
    </row>
    <row r="32" spans="2:19" x14ac:dyDescent="0.25">
      <c r="G32"/>
      <c r="H32"/>
    </row>
  </sheetData>
  <mergeCells count="1">
    <mergeCell ref="B1:C1"/>
  </mergeCells>
  <pageMargins left="0.7" right="0.7" top="0.75" bottom="0.75" header="0.3" footer="0.3"/>
  <pageSetup orientation="portrait" r:id="rId1"/>
  <drawing r:id="rId2"/>
  <tableParts count="2">
    <tablePart r:id="rId3"/>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9E3CD16E-A19E-49E5-8A8A-1E3E6AB1F881}">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20</vt:i4>
      </vt:variant>
    </vt:vector>
  </HeadingPairs>
  <TitlesOfParts>
    <vt:vector size="40" baseType="lpstr">
      <vt:lpstr>Instructions</vt:lpstr>
      <vt:lpstr>AsSprayed_BottomLayer</vt:lpstr>
      <vt:lpstr>AsSprayed_TopLayer</vt:lpstr>
      <vt:lpstr>SHVOF_1000X (with cracks)</vt:lpstr>
      <vt:lpstr>HIP_SHVOF_0250X (with cracks)</vt:lpstr>
      <vt:lpstr>HIP_SHVOF_0250X</vt:lpstr>
      <vt:lpstr>SHVOF_0250X</vt:lpstr>
      <vt:lpstr>SHVOF_0250X (with cracks)</vt:lpstr>
      <vt:lpstr>HVOF_APS_Al2O3_0100X</vt:lpstr>
      <vt:lpstr>HVOF_APS_Al2O3_0250X (with crac</vt:lpstr>
      <vt:lpstr>HVOF_APS_Al2O3_0250X</vt:lpstr>
      <vt:lpstr>HVOF_APS_Al2O3_1000X</vt:lpstr>
      <vt:lpstr>HIP_HVOF_APS_Al2O3_0250X</vt:lpstr>
      <vt:lpstr>HIP_HVOF_APS_Al2O3_1000X</vt:lpstr>
      <vt:lpstr>APS_Al2O3_0100X</vt:lpstr>
      <vt:lpstr>APS_Al2O3_0250X</vt:lpstr>
      <vt:lpstr>APS_Al2O3_1000X</vt:lpstr>
      <vt:lpstr>HIP_APS_Al2O3_0250X</vt:lpstr>
      <vt:lpstr>HIP_APS_Al2O3_1000X</vt:lpstr>
      <vt:lpstr>HIP_APS_Al2O3_1000X (with crack</vt:lpstr>
      <vt:lpstr>APS_Al2O3_0100X!Print_Area</vt:lpstr>
      <vt:lpstr>APS_Al2O3_0250X!Print_Area</vt:lpstr>
      <vt:lpstr>APS_Al2O3_1000X!Print_Area</vt:lpstr>
      <vt:lpstr>AsSprayed_BottomLayer!Print_Area</vt:lpstr>
      <vt:lpstr>AsSprayed_TopLayer!Print_Area</vt:lpstr>
      <vt:lpstr>HIP_APS_Al2O3_0250X!Print_Area</vt:lpstr>
      <vt:lpstr>HIP_APS_Al2O3_1000X!Print_Area</vt:lpstr>
      <vt:lpstr>'HIP_APS_Al2O3_1000X (with crack'!Print_Area</vt:lpstr>
      <vt:lpstr>HIP_HVOF_APS_Al2O3_0250X!Print_Area</vt:lpstr>
      <vt:lpstr>HIP_HVOF_APS_Al2O3_1000X!Print_Area</vt:lpstr>
      <vt:lpstr>HIP_SHVOF_0250X!Print_Area</vt:lpstr>
      <vt:lpstr>'HIP_SHVOF_0250X (with cracks)'!Print_Area</vt:lpstr>
      <vt:lpstr>HVOF_APS_Al2O3_0100X!Print_Area</vt:lpstr>
      <vt:lpstr>HVOF_APS_Al2O3_0250X!Print_Area</vt:lpstr>
      <vt:lpstr>'HVOF_APS_Al2O3_0250X (with crac'!Print_Area</vt:lpstr>
      <vt:lpstr>HVOF_APS_Al2O3_1000X!Print_Area</vt:lpstr>
      <vt:lpstr>Instructions!Print_Area</vt:lpstr>
      <vt:lpstr>SHVOF_0250X!Print_Area</vt:lpstr>
      <vt:lpstr>'SHVOF_0250X (with cracks)'!Print_Area</vt:lpstr>
      <vt:lpstr>'SHVOF_1000X (with cracks)'!Print_Area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student</dc:creator>
  <cp:lastModifiedBy>Pradeep Kumar, Vishakh</cp:lastModifiedBy>
  <cp:lastPrinted>2023-01-22T18:16:09Z</cp:lastPrinted>
  <dcterms:created xsi:type="dcterms:W3CDTF">2023-01-18T13:01:58Z</dcterms:created>
  <dcterms:modified xsi:type="dcterms:W3CDTF">2024-01-30T14:13:41Z</dcterms:modified>
</cp:coreProperties>
</file>